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via\Documents\AP\ZWO_Gain-SubExposure\"/>
    </mc:Choice>
  </mc:AlternateContent>
  <xr:revisionPtr revIDLastSave="0" documentId="8_{21698EDE-1503-4174-AEC5-88362188A01C}" xr6:coauthVersionLast="46" xr6:coauthVersionMax="46" xr10:uidLastSave="{00000000-0000-0000-0000-000000000000}"/>
  <bookViews>
    <workbookView xWindow="360" yWindow="120" windowWidth="18710" windowHeight="9890" xr2:uid="{00000000-000D-0000-FFFF-FFFF00000000}"/>
  </bookViews>
  <sheets>
    <sheet name="Gain-Sub-Exp" sheetId="5" r:id="rId1"/>
    <sheet name="Filters" sheetId="8" r:id="rId2"/>
    <sheet name="Skyflux" sheetId="3" r:id="rId3"/>
    <sheet name="ASI183-specs-DR-SNR" sheetId="4" r:id="rId4"/>
    <sheet name="Offset-FWC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5" l="1"/>
  <c r="D14" i="5"/>
  <c r="B10" i="8"/>
  <c r="G5" i="4" l="1"/>
  <c r="E17" i="4"/>
  <c r="E24" i="4"/>
  <c r="E25" i="4"/>
  <c r="E26" i="4"/>
  <c r="E27" i="4"/>
  <c r="C17" i="4"/>
  <c r="C24" i="4"/>
  <c r="C25" i="4"/>
  <c r="C26" i="4"/>
  <c r="C27" i="4"/>
  <c r="B17" i="4"/>
  <c r="G17" i="4" s="1"/>
  <c r="B24" i="4"/>
  <c r="B25" i="4"/>
  <c r="B26" i="4"/>
  <c r="B27" i="4"/>
  <c r="K27" i="4"/>
  <c r="L27" i="4" s="1"/>
  <c r="H17" i="4"/>
  <c r="K17" i="4" s="1"/>
  <c r="L17" i="4" s="1"/>
  <c r="H24" i="4"/>
  <c r="K24" i="4" s="1"/>
  <c r="L24" i="4" s="1"/>
  <c r="H25" i="4"/>
  <c r="K25" i="4" s="1"/>
  <c r="L25" i="4" s="1"/>
  <c r="H26" i="4"/>
  <c r="K26" i="4" s="1"/>
  <c r="L26" i="4" s="1"/>
  <c r="H27" i="4"/>
  <c r="H5" i="4" l="1"/>
  <c r="K5" i="4" s="1"/>
  <c r="B20" i="7"/>
  <c r="B21" i="7"/>
  <c r="B22" i="7"/>
  <c r="B2" i="7"/>
  <c r="AC2" i="4"/>
  <c r="D10" i="5" l="1"/>
  <c r="D31" i="5" l="1"/>
  <c r="D24" i="5"/>
  <c r="D32" i="5" l="1"/>
  <c r="AG2" i="4" s="1"/>
  <c r="C46" i="5"/>
  <c r="C45" i="5"/>
  <c r="C44" i="5"/>
  <c r="C43" i="5"/>
  <c r="C42" i="5"/>
  <c r="C41" i="5"/>
  <c r="C40" i="5"/>
  <c r="C39" i="5"/>
  <c r="C38" i="5"/>
  <c r="C37" i="5"/>
  <c r="H32" i="5" l="1"/>
  <c r="A23" i="7" l="1"/>
  <c r="A3" i="7"/>
  <c r="A4" i="7" l="1"/>
  <c r="B3" i="7"/>
  <c r="A24" i="7"/>
  <c r="B23" i="7"/>
  <c r="H15" i="5"/>
  <c r="H14" i="5"/>
  <c r="H13" i="5"/>
  <c r="A25" i="7" l="1"/>
  <c r="B24" i="7"/>
  <c r="A5" i="7"/>
  <c r="B4" i="7"/>
  <c r="H25" i="5"/>
  <c r="J25" i="5" s="1"/>
  <c r="H24" i="5"/>
  <c r="J24" i="5" s="1"/>
  <c r="A6" i="7" l="1"/>
  <c r="B5" i="7"/>
  <c r="A26" i="7"/>
  <c r="B25" i="7"/>
  <c r="C25" i="3"/>
  <c r="C22" i="3"/>
  <c r="A27" i="7" l="1"/>
  <c r="B26" i="7"/>
  <c r="A7" i="7"/>
  <c r="B6" i="7"/>
  <c r="C24" i="3"/>
  <c r="M10" i="5"/>
  <c r="A28" i="4"/>
  <c r="A6" i="4"/>
  <c r="L5" i="4"/>
  <c r="E28" i="4" l="1"/>
  <c r="B28" i="4"/>
  <c r="H28" i="4"/>
  <c r="K28" i="4" s="1"/>
  <c r="C28" i="4"/>
  <c r="D6" i="4"/>
  <c r="B6" i="4"/>
  <c r="G6" i="4" s="1"/>
  <c r="C6" i="4"/>
  <c r="E6" i="4"/>
  <c r="H6" i="4"/>
  <c r="K6" i="4" s="1"/>
  <c r="A8" i="7"/>
  <c r="B7" i="7"/>
  <c r="A28" i="7"/>
  <c r="B27" i="7"/>
  <c r="A29" i="4"/>
  <c r="A7" i="4"/>
  <c r="C23" i="3"/>
  <c r="M11" i="5"/>
  <c r="H7" i="4" l="1"/>
  <c r="K7" i="4" s="1"/>
  <c r="C7" i="4"/>
  <c r="E7" i="4"/>
  <c r="B7" i="4"/>
  <c r="D7" i="4"/>
  <c r="E29" i="4"/>
  <c r="B29" i="4"/>
  <c r="H29" i="4"/>
  <c r="K29" i="4" s="1"/>
  <c r="C29" i="4"/>
  <c r="L28" i="4"/>
  <c r="L6" i="4"/>
  <c r="A30" i="4"/>
  <c r="A29" i="7"/>
  <c r="B29" i="7" s="1"/>
  <c r="B28" i="7"/>
  <c r="A9" i="7"/>
  <c r="B8" i="7"/>
  <c r="A8" i="4"/>
  <c r="A9" i="4" s="1"/>
  <c r="M12" i="5"/>
  <c r="A31" i="4"/>
  <c r="C9" i="4" l="1"/>
  <c r="H9" i="4"/>
  <c r="K9" i="4" s="1"/>
  <c r="L9" i="4" s="1"/>
  <c r="E9" i="4"/>
  <c r="B9" i="4"/>
  <c r="G9" i="4" s="1"/>
  <c r="D8" i="4"/>
  <c r="D9" i="4" s="1"/>
  <c r="D10" i="4" s="1"/>
  <c r="L7" i="4"/>
  <c r="G7" i="4"/>
  <c r="H31" i="4"/>
  <c r="K31" i="4" s="1"/>
  <c r="C31" i="4"/>
  <c r="E31" i="4"/>
  <c r="B31" i="4"/>
  <c r="C30" i="4"/>
  <c r="E30" i="4"/>
  <c r="B30" i="4"/>
  <c r="H30" i="4"/>
  <c r="K30" i="4" s="1"/>
  <c r="L30" i="4" s="1"/>
  <c r="L29" i="4"/>
  <c r="H8" i="4"/>
  <c r="K8" i="4" s="1"/>
  <c r="C8" i="4"/>
  <c r="E8" i="4"/>
  <c r="B8" i="4"/>
  <c r="G8" i="4" s="1"/>
  <c r="A10" i="7"/>
  <c r="B9" i="7"/>
  <c r="M13" i="5"/>
  <c r="A10" i="4"/>
  <c r="A32" i="4"/>
  <c r="D11" i="4" l="1"/>
  <c r="B10" i="4"/>
  <c r="G10" i="4" s="1"/>
  <c r="C10" i="4"/>
  <c r="E10" i="4"/>
  <c r="H10" i="4"/>
  <c r="K10" i="4" s="1"/>
  <c r="L10" i="4" s="1"/>
  <c r="L31" i="4"/>
  <c r="H32" i="4"/>
  <c r="K32" i="4" s="1"/>
  <c r="L32" i="4" s="1"/>
  <c r="C32" i="4"/>
  <c r="E32" i="4"/>
  <c r="B32" i="4"/>
  <c r="L8" i="4"/>
  <c r="A11" i="7"/>
  <c r="B10" i="7"/>
  <c r="M14" i="5"/>
  <c r="A11" i="4"/>
  <c r="A33" i="4"/>
  <c r="H33" i="4" l="1"/>
  <c r="K33" i="4" s="1"/>
  <c r="L33" i="4" s="1"/>
  <c r="C33" i="4"/>
  <c r="E33" i="4"/>
  <c r="B33" i="4"/>
  <c r="E11" i="4"/>
  <c r="B11" i="4"/>
  <c r="G11" i="4" s="1"/>
  <c r="H11" i="4"/>
  <c r="K11" i="4" s="1"/>
  <c r="L11" i="4" s="1"/>
  <c r="C11" i="4"/>
  <c r="A12" i="7"/>
  <c r="B11" i="7"/>
  <c r="M15" i="5"/>
  <c r="A12" i="4"/>
  <c r="A34" i="4"/>
  <c r="B34" i="4" l="1"/>
  <c r="C34" i="4"/>
  <c r="E34" i="4"/>
  <c r="H34" i="4"/>
  <c r="K34" i="4" s="1"/>
  <c r="L34" i="4" s="1"/>
  <c r="E12" i="4"/>
  <c r="B12" i="4"/>
  <c r="G12" i="4" s="1"/>
  <c r="H12" i="4"/>
  <c r="K12" i="4" s="1"/>
  <c r="L12" i="4" s="1"/>
  <c r="C12" i="4"/>
  <c r="D12" i="4"/>
  <c r="A13" i="7"/>
  <c r="B12" i="7"/>
  <c r="M16" i="5"/>
  <c r="A13" i="4"/>
  <c r="E13" i="4" l="1"/>
  <c r="B13" i="4"/>
  <c r="H13" i="4"/>
  <c r="K13" i="4" s="1"/>
  <c r="C13" i="4"/>
  <c r="D13" i="4"/>
  <c r="D14" i="4" s="1"/>
  <c r="A14" i="7"/>
  <c r="B13" i="7"/>
  <c r="M17" i="5"/>
  <c r="A14" i="4"/>
  <c r="L13" i="4" l="1"/>
  <c r="G13" i="4"/>
  <c r="C14" i="4"/>
  <c r="E14" i="4"/>
  <c r="B14" i="4"/>
  <c r="G14" i="4" s="1"/>
  <c r="H14" i="4"/>
  <c r="K14" i="4" s="1"/>
  <c r="L14" i="4" s="1"/>
  <c r="A15" i="7"/>
  <c r="B14" i="7"/>
  <c r="M18" i="5"/>
  <c r="A15" i="4"/>
  <c r="H15" i="4" l="1"/>
  <c r="K15" i="4" s="1"/>
  <c r="C15" i="4"/>
  <c r="E15" i="4"/>
  <c r="B15" i="4"/>
  <c r="D15" i="4"/>
  <c r="D16" i="4" s="1"/>
  <c r="D17" i="4" s="1"/>
  <c r="A16" i="7"/>
  <c r="B15" i="7"/>
  <c r="M19" i="5"/>
  <c r="A16" i="4"/>
  <c r="L15" i="4" l="1"/>
  <c r="G15" i="4"/>
  <c r="H16" i="4"/>
  <c r="K16" i="4" s="1"/>
  <c r="L16" i="4" s="1"/>
  <c r="C16" i="4"/>
  <c r="E16" i="4"/>
  <c r="B16" i="4"/>
  <c r="G16" i="4" s="1"/>
  <c r="A17" i="7"/>
  <c r="B16" i="7"/>
  <c r="M20" i="5"/>
  <c r="A18" i="4"/>
  <c r="B18" i="4" l="1"/>
  <c r="H18" i="4"/>
  <c r="K18" i="4" s="1"/>
  <c r="L18" i="4" s="1"/>
  <c r="C18" i="4"/>
  <c r="E18" i="4"/>
  <c r="D18" i="4"/>
  <c r="D19" i="4" s="1"/>
  <c r="A18" i="7"/>
  <c r="B17" i="7"/>
  <c r="M22" i="5"/>
  <c r="A19" i="4"/>
  <c r="E19" i="4" l="1"/>
  <c r="B19" i="4"/>
  <c r="H19" i="4"/>
  <c r="K19" i="4" s="1"/>
  <c r="L19" i="4" s="1"/>
  <c r="C19" i="4"/>
  <c r="A19" i="7"/>
  <c r="B19" i="7" s="1"/>
  <c r="B18" i="7"/>
  <c r="M23" i="5"/>
  <c r="A20" i="4"/>
  <c r="E20" i="4" l="1"/>
  <c r="B20" i="4"/>
  <c r="H20" i="4"/>
  <c r="K20" i="4" s="1"/>
  <c r="C20" i="4"/>
  <c r="D20" i="4"/>
  <c r="D21" i="4" s="1"/>
  <c r="M24" i="5"/>
  <c r="A21" i="4"/>
  <c r="B21" i="4" l="1"/>
  <c r="E21" i="4"/>
  <c r="C21" i="4"/>
  <c r="H21" i="4"/>
  <c r="K21" i="4" s="1"/>
  <c r="L20" i="4"/>
  <c r="M25" i="5"/>
  <c r="A22" i="4"/>
  <c r="D22" i="4" s="1"/>
  <c r="C22" i="4" l="1"/>
  <c r="E22" i="4"/>
  <c r="B22" i="4"/>
  <c r="H22" i="4"/>
  <c r="K22" i="4" s="1"/>
  <c r="L22" i="4" s="1"/>
  <c r="L21" i="4"/>
  <c r="H21" i="5"/>
  <c r="H20" i="5"/>
  <c r="M26" i="5"/>
  <c r="A23" i="4"/>
  <c r="H23" i="4" l="1"/>
  <c r="K23" i="4" s="1"/>
  <c r="C23" i="4"/>
  <c r="E23" i="4"/>
  <c r="B23" i="4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I24" i="5"/>
  <c r="K24" i="5" s="1"/>
  <c r="D12" i="5" s="1"/>
  <c r="R2" i="4" s="1"/>
  <c r="I25" i="5"/>
  <c r="K25" i="5" s="1"/>
  <c r="H27" i="5" s="1"/>
  <c r="H30" i="5" s="1"/>
  <c r="M27" i="5"/>
  <c r="L23" i="4" l="1"/>
  <c r="H29" i="5"/>
  <c r="H34" i="5" s="1"/>
  <c r="D6" i="5" s="1"/>
  <c r="D26" i="5" s="1"/>
  <c r="D27" i="5" s="1"/>
  <c r="M29" i="5"/>
  <c r="D28" i="5" l="1"/>
  <c r="T2" i="4"/>
  <c r="B18" i="3"/>
  <c r="M30" i="5"/>
  <c r="N24" i="4" l="1"/>
  <c r="N17" i="4"/>
  <c r="B20" i="3"/>
  <c r="C27" i="3" s="1"/>
  <c r="N27" i="4"/>
  <c r="N28" i="4"/>
  <c r="N21" i="4"/>
  <c r="N29" i="4"/>
  <c r="N26" i="4"/>
  <c r="N34" i="4"/>
  <c r="N25" i="4"/>
  <c r="N6" i="4"/>
  <c r="N5" i="4"/>
  <c r="AC5" i="4" s="1"/>
  <c r="N7" i="4"/>
  <c r="N8" i="4"/>
  <c r="N30" i="4"/>
  <c r="N31" i="4"/>
  <c r="N9" i="4"/>
  <c r="N10" i="4"/>
  <c r="N32" i="4"/>
  <c r="N11" i="4"/>
  <c r="N33" i="4"/>
  <c r="N12" i="4"/>
  <c r="N13" i="4"/>
  <c r="N14" i="4"/>
  <c r="N15" i="4"/>
  <c r="N16" i="4"/>
  <c r="N18" i="4"/>
  <c r="N19" i="4"/>
  <c r="N20" i="4"/>
  <c r="N22" i="4"/>
  <c r="N23" i="4"/>
  <c r="M31" i="5"/>
  <c r="AC28" i="4" l="1"/>
  <c r="R28" i="4"/>
  <c r="AC22" i="4"/>
  <c r="R22" i="4"/>
  <c r="AC27" i="4"/>
  <c r="R27" i="4"/>
  <c r="AC21" i="4"/>
  <c r="R21" i="4"/>
  <c r="AC33" i="4"/>
  <c r="R33" i="4"/>
  <c r="AC16" i="4"/>
  <c r="R16" i="4"/>
  <c r="AC17" i="4"/>
  <c r="R17" i="4"/>
  <c r="AC12" i="4"/>
  <c r="R12" i="4"/>
  <c r="AC7" i="4"/>
  <c r="R7" i="4"/>
  <c r="AC18" i="4"/>
  <c r="R18" i="4"/>
  <c r="AC10" i="4"/>
  <c r="R10" i="4"/>
  <c r="AC9" i="4"/>
  <c r="R9" i="4"/>
  <c r="AC34" i="4"/>
  <c r="R34" i="4"/>
  <c r="AC24" i="4"/>
  <c r="R24" i="4"/>
  <c r="AC20" i="4"/>
  <c r="R20" i="4"/>
  <c r="AC11" i="4"/>
  <c r="R11" i="4"/>
  <c r="AC6" i="4"/>
  <c r="R6" i="4"/>
  <c r="AC25" i="4"/>
  <c r="R25" i="4"/>
  <c r="AC15" i="4"/>
  <c r="R15" i="4"/>
  <c r="AC14" i="4"/>
  <c r="R14" i="4"/>
  <c r="AC31" i="4"/>
  <c r="R31" i="4"/>
  <c r="AC26" i="4"/>
  <c r="R26" i="4"/>
  <c r="T21" i="4"/>
  <c r="U21" i="4" s="1"/>
  <c r="AC8" i="4"/>
  <c r="R8" i="4"/>
  <c r="AC19" i="4"/>
  <c r="R19" i="4"/>
  <c r="AC32" i="4"/>
  <c r="R32" i="4"/>
  <c r="AC23" i="4"/>
  <c r="R23" i="4"/>
  <c r="AC13" i="4"/>
  <c r="R13" i="4"/>
  <c r="AC30" i="4"/>
  <c r="R30" i="4"/>
  <c r="AC29" i="4"/>
  <c r="R29" i="4"/>
  <c r="T11" i="4"/>
  <c r="T12" i="4"/>
  <c r="U12" i="4" s="1"/>
  <c r="T13" i="4"/>
  <c r="U13" i="4" s="1"/>
  <c r="T19" i="4"/>
  <c r="U19" i="4" s="1"/>
  <c r="T34" i="4"/>
  <c r="T23" i="4"/>
  <c r="U23" i="4" s="1"/>
  <c r="T10" i="4"/>
  <c r="U10" i="4" s="1"/>
  <c r="T26" i="4"/>
  <c r="U26" i="4" s="1"/>
  <c r="T31" i="4"/>
  <c r="T7" i="4"/>
  <c r="U7" i="4" s="1"/>
  <c r="T33" i="4"/>
  <c r="U33" i="4" s="1"/>
  <c r="T18" i="4"/>
  <c r="U18" i="4" s="1"/>
  <c r="T15" i="4"/>
  <c r="U15" i="4" s="1"/>
  <c r="T30" i="4"/>
  <c r="U30" i="4" s="1"/>
  <c r="T25" i="4"/>
  <c r="T32" i="4"/>
  <c r="U32" i="4" s="1"/>
  <c r="T22" i="4"/>
  <c r="U22" i="4" s="1"/>
  <c r="T14" i="4"/>
  <c r="U14" i="4" s="1"/>
  <c r="T17" i="4"/>
  <c r="T24" i="4"/>
  <c r="T6" i="4"/>
  <c r="T28" i="4"/>
  <c r="U28" i="4" s="1"/>
  <c r="T9" i="4"/>
  <c r="U9" i="4" s="1"/>
  <c r="T16" i="4"/>
  <c r="U16" i="4" s="1"/>
  <c r="T29" i="4"/>
  <c r="U29" i="4" s="1"/>
  <c r="T20" i="4"/>
  <c r="U20" i="4" s="1"/>
  <c r="T27" i="4"/>
  <c r="U27" i="4" s="1"/>
  <c r="T8" i="4"/>
  <c r="U8" i="4" s="1"/>
  <c r="O24" i="4"/>
  <c r="O17" i="4"/>
  <c r="T5" i="4"/>
  <c r="U5" i="4" s="1"/>
  <c r="O14" i="4"/>
  <c r="N18" i="5" s="1"/>
  <c r="O18" i="5" s="1"/>
  <c r="Q14" i="4" s="1"/>
  <c r="O32" i="4"/>
  <c r="O22" i="4"/>
  <c r="N26" i="5" s="1"/>
  <c r="O26" i="5" s="1"/>
  <c r="Q22" i="4" s="1"/>
  <c r="O16" i="4"/>
  <c r="N20" i="5" s="1"/>
  <c r="O20" i="5" s="1"/>
  <c r="Q16" i="4" s="1"/>
  <c r="O12" i="4"/>
  <c r="N16" i="5" s="1"/>
  <c r="O16" i="5" s="1"/>
  <c r="Q12" i="4" s="1"/>
  <c r="O10" i="4"/>
  <c r="N14" i="5" s="1"/>
  <c r="O14" i="5" s="1"/>
  <c r="Q10" i="4" s="1"/>
  <c r="O8" i="4"/>
  <c r="N12" i="5" s="1"/>
  <c r="O12" i="5" s="1"/>
  <c r="Q8" i="4" s="1"/>
  <c r="O21" i="4"/>
  <c r="N25" i="5" s="1"/>
  <c r="O25" i="5" s="1"/>
  <c r="Q21" i="4" s="1"/>
  <c r="O31" i="4"/>
  <c r="O11" i="4"/>
  <c r="N15" i="5" s="1"/>
  <c r="O15" i="5" s="1"/>
  <c r="Q11" i="4" s="1"/>
  <c r="O18" i="4"/>
  <c r="N22" i="5" s="1"/>
  <c r="O22" i="5" s="1"/>
  <c r="Q18" i="4" s="1"/>
  <c r="O34" i="4"/>
  <c r="O23" i="4"/>
  <c r="N27" i="5" s="1"/>
  <c r="O27" i="5" s="1"/>
  <c r="Q23" i="4" s="1"/>
  <c r="O7" i="4"/>
  <c r="N11" i="5" s="1"/>
  <c r="O11" i="5" s="1"/>
  <c r="Q7" i="4" s="1"/>
  <c r="O28" i="4"/>
  <c r="O33" i="4"/>
  <c r="O6" i="4"/>
  <c r="N10" i="5" s="1"/>
  <c r="O10" i="5" s="1"/>
  <c r="Q6" i="4" s="1"/>
  <c r="O19" i="4"/>
  <c r="N23" i="5" s="1"/>
  <c r="O23" i="5" s="1"/>
  <c r="Q19" i="4" s="1"/>
  <c r="O25" i="4"/>
  <c r="N29" i="5" s="1"/>
  <c r="O29" i="5" s="1"/>
  <c r="Q25" i="4" s="1"/>
  <c r="O13" i="4"/>
  <c r="N17" i="5" s="1"/>
  <c r="O17" i="5" s="1"/>
  <c r="Q13" i="4" s="1"/>
  <c r="O26" i="4"/>
  <c r="N30" i="5" s="1"/>
  <c r="O30" i="5" s="1"/>
  <c r="Q26" i="4" s="1"/>
  <c r="O29" i="4"/>
  <c r="O20" i="4"/>
  <c r="N24" i="5" s="1"/>
  <c r="O24" i="5" s="1"/>
  <c r="Q20" i="4" s="1"/>
  <c r="O15" i="4"/>
  <c r="N19" i="5" s="1"/>
  <c r="O19" i="5" s="1"/>
  <c r="Q15" i="4" s="1"/>
  <c r="O9" i="4"/>
  <c r="N13" i="5" s="1"/>
  <c r="O13" i="5" s="1"/>
  <c r="Q9" i="4" s="1"/>
  <c r="O30" i="4"/>
  <c r="O5" i="4"/>
  <c r="R5" i="4"/>
  <c r="O27" i="4"/>
  <c r="N31" i="5" s="1"/>
  <c r="O31" i="5" s="1"/>
  <c r="Q27" i="4" s="1"/>
  <c r="M32" i="5"/>
  <c r="N32" i="5" l="1"/>
  <c r="O32" i="5" s="1"/>
  <c r="Q28" i="4" s="1"/>
  <c r="W30" i="4"/>
  <c r="W22" i="4"/>
  <c r="W29" i="4"/>
  <c r="W33" i="4"/>
  <c r="W23" i="4"/>
  <c r="W20" i="4"/>
  <c r="W8" i="4"/>
  <c r="W7" i="4"/>
  <c r="W28" i="4"/>
  <c r="W14" i="4"/>
  <c r="W18" i="4"/>
  <c r="W6" i="4"/>
  <c r="W12" i="4"/>
  <c r="W19" i="4"/>
  <c r="U6" i="4"/>
  <c r="W15" i="4"/>
  <c r="W16" i="4"/>
  <c r="W32" i="4"/>
  <c r="W10" i="4"/>
  <c r="X31" i="4"/>
  <c r="U31" i="4"/>
  <c r="X34" i="4"/>
  <c r="U34" i="4"/>
  <c r="X17" i="4"/>
  <c r="U17" i="4"/>
  <c r="W21" i="4"/>
  <c r="X25" i="4"/>
  <c r="U25" i="4"/>
  <c r="X24" i="4"/>
  <c r="U24" i="4"/>
  <c r="X11" i="4"/>
  <c r="U11" i="4"/>
  <c r="W31" i="4"/>
  <c r="W25" i="4"/>
  <c r="W34" i="4"/>
  <c r="W17" i="4"/>
  <c r="W9" i="4"/>
  <c r="W26" i="4"/>
  <c r="W27" i="4"/>
  <c r="W13" i="4"/>
  <c r="W24" i="4"/>
  <c r="X7" i="4"/>
  <c r="W11" i="4"/>
  <c r="X9" i="4"/>
  <c r="X13" i="4"/>
  <c r="X10" i="4"/>
  <c r="X19" i="4"/>
  <c r="X16" i="4"/>
  <c r="X26" i="4"/>
  <c r="X14" i="4"/>
  <c r="X21" i="4"/>
  <c r="X6" i="4"/>
  <c r="X15" i="4"/>
  <c r="X8" i="4"/>
  <c r="X18" i="4"/>
  <c r="X28" i="4"/>
  <c r="X12" i="4"/>
  <c r="AA12" i="4" s="1"/>
  <c r="X27" i="4"/>
  <c r="X30" i="4"/>
  <c r="X33" i="4"/>
  <c r="X22" i="4"/>
  <c r="X32" i="4"/>
  <c r="X23" i="4"/>
  <c r="X20" i="4"/>
  <c r="X29" i="4"/>
  <c r="N21" i="5"/>
  <c r="O21" i="5" s="1"/>
  <c r="Q17" i="4" s="1"/>
  <c r="N28" i="5"/>
  <c r="O28" i="5" s="1"/>
  <c r="Q24" i="4" s="1"/>
  <c r="W5" i="4"/>
  <c r="X5" i="4"/>
  <c r="N9" i="5"/>
  <c r="O9" i="5" s="1"/>
  <c r="Q5" i="4" s="1"/>
  <c r="AG5" i="4" s="1"/>
  <c r="Q9" i="5" s="1"/>
  <c r="M33" i="5"/>
  <c r="N33" i="5" s="1"/>
  <c r="O33" i="5" s="1"/>
  <c r="Q29" i="4" s="1"/>
  <c r="Y29" i="4" l="1"/>
  <c r="Y16" i="4"/>
  <c r="Y10" i="4"/>
  <c r="Y34" i="4"/>
  <c r="AA16" i="4"/>
  <c r="Y26" i="4"/>
  <c r="Y24" i="4"/>
  <c r="Y21" i="4"/>
  <c r="Y11" i="4"/>
  <c r="AA22" i="4"/>
  <c r="AA21" i="4"/>
  <c r="Y9" i="4"/>
  <c r="AA23" i="4"/>
  <c r="AA10" i="4"/>
  <c r="Y8" i="4"/>
  <c r="Y17" i="4"/>
  <c r="Y18" i="4"/>
  <c r="Y19" i="4"/>
  <c r="Y6" i="4"/>
  <c r="Y23" i="4"/>
  <c r="Y7" i="4"/>
  <c r="Y28" i="4"/>
  <c r="Y22" i="4"/>
  <c r="Y15" i="4"/>
  <c r="Y25" i="4"/>
  <c r="Y20" i="4"/>
  <c r="Y27" i="4"/>
  <c r="Y13" i="4"/>
  <c r="Y14" i="4"/>
  <c r="Y12" i="4"/>
  <c r="AA15" i="4"/>
  <c r="AA7" i="4"/>
  <c r="AA9" i="4"/>
  <c r="AA8" i="4"/>
  <c r="AA20" i="4"/>
  <c r="AA14" i="4"/>
  <c r="AA6" i="4"/>
  <c r="AA26" i="4"/>
  <c r="AA27" i="4"/>
  <c r="AA19" i="4"/>
  <c r="AA13" i="4"/>
  <c r="AG7" i="4"/>
  <c r="Q11" i="5" s="1"/>
  <c r="AE7" i="4"/>
  <c r="P11" i="5" s="1"/>
  <c r="AG10" i="4"/>
  <c r="Q14" i="5" s="1"/>
  <c r="AE10" i="4"/>
  <c r="P14" i="5" s="1"/>
  <c r="AG19" i="4"/>
  <c r="Q23" i="5" s="1"/>
  <c r="AE19" i="4"/>
  <c r="P23" i="5" s="1"/>
  <c r="AG27" i="4"/>
  <c r="Q31" i="5" s="1"/>
  <c r="AE27" i="4"/>
  <c r="P31" i="5" s="1"/>
  <c r="AG26" i="4"/>
  <c r="Q30" i="5" s="1"/>
  <c r="AE26" i="4"/>
  <c r="P30" i="5" s="1"/>
  <c r="AG6" i="4"/>
  <c r="Q10" i="5" s="1"/>
  <c r="AE6" i="4"/>
  <c r="P10" i="5" s="1"/>
  <c r="AG15" i="4"/>
  <c r="Q19" i="5" s="1"/>
  <c r="AE15" i="4"/>
  <c r="P19" i="5" s="1"/>
  <c r="AG20" i="4"/>
  <c r="Q24" i="5" s="1"/>
  <c r="AE20" i="4"/>
  <c r="P24" i="5" s="1"/>
  <c r="AG23" i="4"/>
  <c r="Q27" i="5" s="1"/>
  <c r="AE23" i="4"/>
  <c r="P27" i="5" s="1"/>
  <c r="AG21" i="4"/>
  <c r="Q25" i="5" s="1"/>
  <c r="AE21" i="4"/>
  <c r="P25" i="5" s="1"/>
  <c r="AG8" i="4"/>
  <c r="Q12" i="5" s="1"/>
  <c r="AE8" i="4"/>
  <c r="P12" i="5" s="1"/>
  <c r="AG22" i="4"/>
  <c r="Q26" i="5" s="1"/>
  <c r="AE22" i="4"/>
  <c r="P26" i="5" s="1"/>
  <c r="AG9" i="4"/>
  <c r="Q13" i="5" s="1"/>
  <c r="AE9" i="4"/>
  <c r="P13" i="5" s="1"/>
  <c r="AG14" i="4"/>
  <c r="Q18" i="5" s="1"/>
  <c r="AE14" i="4"/>
  <c r="P18" i="5" s="1"/>
  <c r="AG16" i="4"/>
  <c r="Q20" i="5" s="1"/>
  <c r="AE16" i="4"/>
  <c r="P20" i="5" s="1"/>
  <c r="AG13" i="4"/>
  <c r="Q17" i="5" s="1"/>
  <c r="AE13" i="4"/>
  <c r="P17" i="5" s="1"/>
  <c r="AG12" i="4"/>
  <c r="Q16" i="5" s="1"/>
  <c r="AE12" i="4"/>
  <c r="P16" i="5" s="1"/>
  <c r="AA11" i="4"/>
  <c r="AA25" i="4"/>
  <c r="AA24" i="4"/>
  <c r="AA18" i="4"/>
  <c r="AE17" i="4"/>
  <c r="AA5" i="4"/>
  <c r="Y5" i="4"/>
  <c r="AE5" i="4"/>
  <c r="P9" i="5" s="1"/>
  <c r="AA28" i="4"/>
  <c r="M34" i="5"/>
  <c r="N34" i="5" s="1"/>
  <c r="O34" i="5" s="1"/>
  <c r="Q30" i="4" s="1"/>
  <c r="Y30" i="4"/>
  <c r="AA17" i="4" l="1"/>
  <c r="AG25" i="4"/>
  <c r="Q29" i="5" s="1"/>
  <c r="AE25" i="4"/>
  <c r="P29" i="5" s="1"/>
  <c r="AG24" i="4"/>
  <c r="Q28" i="5" s="1"/>
  <c r="AE24" i="4"/>
  <c r="P28" i="5" s="1"/>
  <c r="AG28" i="4"/>
  <c r="Q32" i="5" s="1"/>
  <c r="AE28" i="4"/>
  <c r="P32" i="5" s="1"/>
  <c r="AG11" i="4"/>
  <c r="Q15" i="5" s="1"/>
  <c r="AE11" i="4"/>
  <c r="P15" i="5" s="1"/>
  <c r="AG18" i="4"/>
  <c r="Q22" i="5" s="1"/>
  <c r="AE18" i="4"/>
  <c r="P22" i="5" s="1"/>
  <c r="AG17" i="4"/>
  <c r="Q21" i="5" s="1"/>
  <c r="P21" i="5"/>
  <c r="AA30" i="4"/>
  <c r="AA29" i="4"/>
  <c r="M35" i="5"/>
  <c r="N35" i="5" s="1"/>
  <c r="O35" i="5" s="1"/>
  <c r="Q31" i="4" s="1"/>
  <c r="Y31" i="4"/>
  <c r="AG30" i="4" l="1"/>
  <c r="Q34" i="5" s="1"/>
  <c r="AE30" i="4"/>
  <c r="P34" i="5" s="1"/>
  <c r="AG29" i="4"/>
  <c r="Q33" i="5" s="1"/>
  <c r="AE29" i="4"/>
  <c r="P33" i="5" s="1"/>
  <c r="D38" i="5"/>
  <c r="E46" i="5"/>
  <c r="E44" i="5"/>
  <c r="E45" i="5"/>
  <c r="E39" i="5"/>
  <c r="E43" i="5"/>
  <c r="E40" i="5"/>
  <c r="E37" i="5"/>
  <c r="E38" i="5"/>
  <c r="E42" i="5"/>
  <c r="E41" i="5"/>
  <c r="AA31" i="4"/>
  <c r="M36" i="5"/>
  <c r="N36" i="5" s="1"/>
  <c r="O36" i="5" s="1"/>
  <c r="Q32" i="4" s="1"/>
  <c r="Y33" i="4"/>
  <c r="Y32" i="4"/>
  <c r="AG31" i="4" l="1"/>
  <c r="Q35" i="5" s="1"/>
  <c r="AE31" i="4"/>
  <c r="P35" i="5" s="1"/>
  <c r="D43" i="5"/>
  <c r="D41" i="5"/>
  <c r="D37" i="5"/>
  <c r="D45" i="5"/>
  <c r="D44" i="5"/>
  <c r="D42" i="5"/>
  <c r="D46" i="5"/>
  <c r="D39" i="5"/>
  <c r="D40" i="5"/>
  <c r="AA32" i="4"/>
  <c r="M37" i="5"/>
  <c r="N37" i="5" s="1"/>
  <c r="O37" i="5" s="1"/>
  <c r="Q33" i="4" s="1"/>
  <c r="AG32" i="4" l="1"/>
  <c r="Q36" i="5" s="1"/>
  <c r="AE32" i="4"/>
  <c r="P36" i="5" s="1"/>
  <c r="AA33" i="4"/>
  <c r="M38" i="5"/>
  <c r="N38" i="5" s="1"/>
  <c r="O38" i="5" s="1"/>
  <c r="Q34" i="4" s="1"/>
  <c r="AG33" i="4" l="1"/>
  <c r="Q37" i="5" s="1"/>
  <c r="AE33" i="4"/>
  <c r="P37" i="5" s="1"/>
  <c r="AA34" i="4"/>
  <c r="AG34" i="4" l="1"/>
  <c r="Q38" i="5" s="1"/>
  <c r="AE34" i="4"/>
  <c r="P38" i="5" s="1"/>
</calcChain>
</file>

<file path=xl/sharedStrings.xml><?xml version="1.0" encoding="utf-8"?>
<sst xmlns="http://schemas.openxmlformats.org/spreadsheetml/2006/main" count="189" uniqueCount="158">
  <si>
    <t>T</t>
  </si>
  <si>
    <t>e/sec</t>
  </si>
  <si>
    <t>photons/sec/nm/arcsec^2/m^2</t>
  </si>
  <si>
    <t>for a 50%-tile 'dark sky' (20.7 in V-band):</t>
  </si>
  <si>
    <t xml:space="preserve"> wavelength (nm)</t>
  </si>
  <si>
    <t>skyflux (photons/sec/nm/arcsec^2/m^2)</t>
  </si>
  <si>
    <t>wavelength spread</t>
  </si>
  <si>
    <t>nm</t>
  </si>
  <si>
    <t>arc-sec/pixel</t>
  </si>
  <si>
    <t>scope aperture</t>
  </si>
  <si>
    <t>m</t>
  </si>
  <si>
    <t>optical and electronic efficiency</t>
  </si>
  <si>
    <t>re-calcualted skyflux for your sky</t>
  </si>
  <si>
    <t>Enter the skyflux from the table above, based on filter selection (use 550nm for broadband)</t>
  </si>
  <si>
    <t>656 (Ha)</t>
  </si>
  <si>
    <t>500 (OIII)</t>
  </si>
  <si>
    <t>© 2018 S. Bellavia</t>
  </si>
  <si>
    <t>Enter your sky background in Mag/sq-arcsec</t>
  </si>
  <si>
    <t>e/sec per pixel</t>
  </si>
  <si>
    <t>sampling</t>
  </si>
  <si>
    <t>Sky Flux</t>
  </si>
  <si>
    <t>Dark Noise       (e-/sec)</t>
  </si>
  <si>
    <t>Sky fog       (e-/sec)</t>
  </si>
  <si>
    <t>Obj Signal       (e-/sec)</t>
  </si>
  <si>
    <t>Camera Specification/Controls</t>
  </si>
  <si>
    <t>ZWO Gain</t>
  </si>
  <si>
    <t>GADU (e/ADU)</t>
  </si>
  <si>
    <t>FWC</t>
  </si>
  <si>
    <t>DR</t>
  </si>
  <si>
    <t>Read noise</t>
  </si>
  <si>
    <t>ZWO Bias</t>
  </si>
  <si>
    <t>Bias          (12 bit ADU's)</t>
  </si>
  <si>
    <t>Bias        (e-'s)</t>
  </si>
  <si>
    <t>exposure        (sec)</t>
  </si>
  <si>
    <t>exposure   (min)</t>
  </si>
  <si>
    <t># subs</t>
  </si>
  <si>
    <t>Single Sub Dark noise</t>
  </si>
  <si>
    <t>Single Sub Sky Background</t>
  </si>
  <si>
    <t>Single sub Swamp factor</t>
  </si>
  <si>
    <r>
      <t>FWC</t>
    </r>
    <r>
      <rPr>
        <vertAlign val="subscript"/>
        <sz val="11"/>
        <color theme="1"/>
        <rFont val="Calibri"/>
        <family val="2"/>
        <scheme val="minor"/>
      </rPr>
      <t>eff</t>
    </r>
  </si>
  <si>
    <t>Ntotal</t>
  </si>
  <si>
    <t>Bits</t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</si>
  <si>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</si>
  <si>
    <t>Int Bits</t>
  </si>
  <si>
    <t>Int SNR</t>
  </si>
  <si>
    <t>Equations</t>
  </si>
  <si>
    <t>Gain =10*20Log((e/ADU at gain 0)/GADU)</t>
  </si>
  <si>
    <r>
      <t>Swamp Factor = Sky Background/RN</t>
    </r>
    <r>
      <rPr>
        <vertAlign val="superscript"/>
        <sz val="11"/>
        <color theme="1"/>
        <rFont val="Calibri"/>
        <family val="2"/>
        <scheme val="minor"/>
      </rPr>
      <t>2</t>
    </r>
  </si>
  <si>
    <t>FWCeff = FWC - (Bias+Dark+Sky)</t>
  </si>
  <si>
    <r>
      <t>Ntotal = sqrt (Sky + Dark +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</si>
  <si>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  <r>
      <rPr>
        <sz val="11"/>
        <color theme="1"/>
        <rFont val="Calibri"/>
        <family val="2"/>
        <scheme val="minor"/>
      </rPr>
      <t xml:space="preserve"> = Ntotal/sqrt(Csubs)</t>
    </r>
  </si>
  <si>
    <t>Bits = log(FWCeff/Ntotal) / log(2)</t>
  </si>
  <si>
    <r>
      <t>Bits</t>
    </r>
    <r>
      <rPr>
        <vertAlign val="subscript"/>
        <sz val="11"/>
        <color theme="1"/>
        <rFont val="Calibri"/>
        <family val="2"/>
        <scheme val="minor"/>
      </rPr>
      <t xml:space="preserve">int </t>
    </r>
    <r>
      <rPr>
        <sz val="11"/>
        <color theme="1"/>
        <rFont val="Calibri"/>
        <family val="2"/>
        <scheme val="minor"/>
      </rPr>
      <t>= log(sqrt(Csubs)*(FWCeff/Ntotal</t>
    </r>
    <r>
      <rPr>
        <sz val="11"/>
        <color theme="1"/>
        <rFont val="Calibri"/>
        <family val="2"/>
        <scheme val="minor"/>
      </rPr>
      <t>)) / log(2)</t>
    </r>
  </si>
  <si>
    <r>
      <t>SNR = (Csubs*Obj)/sqrt(Csubs*(Obj+Sky+Dark+RN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))</t>
    </r>
  </si>
  <si>
    <t>Sky flux</t>
  </si>
  <si>
    <t>Sky Background</t>
  </si>
  <si>
    <t>mag/sq-arcsec</t>
  </si>
  <si>
    <t>Scope Aperture</t>
  </si>
  <si>
    <t>Scope focal length</t>
  </si>
  <si>
    <t>pixel size</t>
  </si>
  <si>
    <t>micron</t>
  </si>
  <si>
    <t>nanometers</t>
  </si>
  <si>
    <t>filter bandwidth</t>
  </si>
  <si>
    <t>Desired Swamp Factor</t>
  </si>
  <si>
    <r>
      <t>(skyflux /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</si>
  <si>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Input:</t>
  </si>
  <si>
    <t>Output:</t>
  </si>
  <si>
    <t>(e/sec) / pixel</t>
  </si>
  <si>
    <t>Total Integration Time</t>
  </si>
  <si>
    <t>minutes</t>
  </si>
  <si>
    <t>filter wavelength</t>
  </si>
  <si>
    <t>lambda</t>
  </si>
  <si>
    <t>flux</t>
  </si>
  <si>
    <t>Gain</t>
  </si>
  <si>
    <t>Sub-exp</t>
  </si>
  <si>
    <t>N</t>
  </si>
  <si>
    <t>SNR</t>
  </si>
  <si>
    <t>Integrated</t>
  </si>
  <si>
    <t>Dark Current</t>
  </si>
  <si>
    <t>ZWO ASI 183 Gain and Sub-Exposure Calculator</t>
  </si>
  <si>
    <t>(QE, etc)</t>
  </si>
  <si>
    <t>Transmission efficiency</t>
  </si>
  <si>
    <t>bits</t>
  </si>
  <si>
    <t>(e/sec)/pixel = T*Photon flux*bandwidth*sampling^2*(PI()*aperture^2/4)</t>
  </si>
  <si>
    <t>Your sky</t>
  </si>
  <si>
    <t>Photon flux = (e/sec)/pixel/[T*bandwidth*sampling^2*(PI()*aperure^2/4)]</t>
  </si>
  <si>
    <t>Photon flux for 20.7 sky</t>
  </si>
  <si>
    <r>
      <t>m1 = mref-2.5log(I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/I</t>
    </r>
    <r>
      <rPr>
        <vertAlign val="subscript"/>
        <sz val="11"/>
        <color theme="1"/>
        <rFont val="Calibri"/>
        <family val="2"/>
        <scheme val="minor"/>
      </rPr>
      <t>ref</t>
    </r>
    <r>
      <rPr>
        <sz val="11"/>
        <color theme="1"/>
        <rFont val="Calibri"/>
        <family val="2"/>
        <scheme val="minor"/>
      </rPr>
      <t>)</t>
    </r>
  </si>
  <si>
    <t>16 bit</t>
  </si>
  <si>
    <t>Skyglow background</t>
  </si>
  <si>
    <t>ADU of an area in the background</t>
  </si>
  <si>
    <t>Dark signal</t>
  </si>
  <si>
    <t>ADU of a matched dark frame</t>
  </si>
  <si>
    <t>Bias signal</t>
  </si>
  <si>
    <t>ADU of your bias</t>
  </si>
  <si>
    <t>Exposure duration</t>
  </si>
  <si>
    <t>12 bit</t>
  </si>
  <si>
    <t>e-/ADU</t>
  </si>
  <si>
    <t>in electrons</t>
  </si>
  <si>
    <t>ADU</t>
  </si>
  <si>
    <t>electrons</t>
  </si>
  <si>
    <t>Skyglow signal</t>
  </si>
  <si>
    <t>ADU/sec</t>
  </si>
  <si>
    <t>Duration (seconds) for light frame &amp; dark</t>
  </si>
  <si>
    <t>Input Data from an Image</t>
  </si>
  <si>
    <t>Your sky photon flux</t>
  </si>
  <si>
    <t>ZWO ASI 183 Gain-sub-exposure</t>
  </si>
  <si>
    <t>Equations:</t>
  </si>
  <si>
    <t>Offset</t>
  </si>
  <si>
    <r>
      <t>(photons/sec/nm/arcsec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</si>
  <si>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(phs/s/nm/arcsec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</si>
  <si>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DR (bits)</t>
  </si>
  <si>
    <t>Enter Gain for DR and SNR vs. Total Integration:</t>
  </si>
  <si>
    <t>object signal</t>
  </si>
  <si>
    <r>
      <t>mag/arcsec</t>
    </r>
    <r>
      <rPr>
        <vertAlign val="superscript"/>
        <sz val="11"/>
        <color theme="1"/>
        <rFont val="Calibri"/>
        <family val="2"/>
        <scheme val="minor"/>
      </rPr>
      <t>2</t>
    </r>
  </si>
  <si>
    <t>Quant error</t>
  </si>
  <si>
    <t>f/ratio</t>
  </si>
  <si>
    <t>Swamp ADU's</t>
  </si>
  <si>
    <t>Swamp</t>
  </si>
  <si>
    <t>Bias          (16 bit ADU's)</t>
  </si>
  <si>
    <t>Filter:</t>
  </si>
  <si>
    <t>Filter</t>
  </si>
  <si>
    <t>Wavelength</t>
  </si>
  <si>
    <t>Bandpass</t>
  </si>
  <si>
    <t>Blue</t>
  </si>
  <si>
    <t>Green</t>
  </si>
  <si>
    <t>Ha 12 nm</t>
  </si>
  <si>
    <t>Ha 3 nm</t>
  </si>
  <si>
    <t>Ha 6 nm</t>
  </si>
  <si>
    <t>Ha 7 nm</t>
  </si>
  <si>
    <t>IDAS Duo</t>
  </si>
  <si>
    <t>Lum</t>
  </si>
  <si>
    <t>OIII 12 nm</t>
  </si>
  <si>
    <t>OIII 3 nm</t>
  </si>
  <si>
    <t>OIII 6 nm</t>
  </si>
  <si>
    <t>OIII 7 nm</t>
  </si>
  <si>
    <t>Optolong L-Enhance</t>
  </si>
  <si>
    <t>Red</t>
  </si>
  <si>
    <t>SII 12 nm</t>
  </si>
  <si>
    <t>SII 3 nm</t>
  </si>
  <si>
    <t>SII 6 nm</t>
  </si>
  <si>
    <t>SII 7 nm</t>
  </si>
  <si>
    <t>Triad</t>
  </si>
  <si>
    <t>ZWO Duo</t>
  </si>
  <si>
    <t>© 2021 S. Bellavia</t>
  </si>
  <si>
    <t>ONLY ENTER DATA IN BLUE (OR GRAY) BOXES.  DO NOT ALTER DATA ON OTHER SHEETS</t>
  </si>
  <si>
    <t>Note:  Once you manually enter the Skybackground, Cell D6, and Dark Current, cell D12,  you will lose the link to that calcualtion.  To retrieve it change Cell D6 back to "=H34" and cell D12 back to "=K24"</t>
  </si>
  <si>
    <t>(minutes)</t>
  </si>
  <si>
    <r>
      <rPr>
        <b/>
        <sz val="11"/>
        <color theme="1"/>
        <rFont val="Calibri"/>
        <family val="2"/>
        <scheme val="minor"/>
      </rPr>
      <t xml:space="preserve"> OR</t>
    </r>
    <r>
      <rPr>
        <sz val="11"/>
        <color theme="1"/>
        <rFont val="Calibri"/>
        <family val="2"/>
        <scheme val="minor"/>
      </rPr>
      <t xml:space="preserve">   take data directly from an image:</t>
    </r>
  </si>
  <si>
    <t>Results</t>
  </si>
  <si>
    <t>Enter Camera Gain</t>
  </si>
  <si>
    <t>actual skyflux</t>
  </si>
  <si>
    <t>measured background</t>
  </si>
  <si>
    <t>actual background</t>
  </si>
  <si>
    <t>Measured Background</t>
  </si>
  <si>
    <t>IDAS LPS D1</t>
  </si>
  <si>
    <t>L-Extreme</t>
  </si>
  <si>
    <t>If you know your sky background and dark current, enter it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</si>
</sst>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E9F4E8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9" xfId="0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3" fillId="3" borderId="9" xfId="0" applyNumberFormat="1" applyFont="1" applyFill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5" borderId="9" xfId="0" applyFill="1" applyBorder="1" applyAlignment="1">
      <alignment horizontal="center"/>
    </xf>
    <xf numFmtId="164" fontId="0" fillId="4" borderId="9" xfId="0" applyNumberFormat="1" applyFill="1" applyBorder="1"/>
    <xf numFmtId="2" fontId="0" fillId="4" borderId="9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1" xfId="0" applyFont="1" applyBorder="1"/>
    <xf numFmtId="0" fontId="0" fillId="0" borderId="2" xfId="0" applyFill="1" applyBorder="1"/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 applyAlignment="1">
      <alignment horizontal="right"/>
    </xf>
    <xf numFmtId="2" fontId="0" fillId="2" borderId="9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5" fontId="0" fillId="4" borderId="9" xfId="0" applyNumberFormat="1" applyFill="1" applyBorder="1"/>
    <xf numFmtId="0" fontId="0" fillId="0" borderId="0" xfId="0" applyBorder="1" applyAlignment="1">
      <alignment horizontal="center"/>
    </xf>
    <xf numFmtId="0" fontId="0" fillId="2" borderId="9" xfId="0" applyFill="1" applyBorder="1" applyAlignment="1">
      <alignment horizontal="left"/>
    </xf>
    <xf numFmtId="0" fontId="10" fillId="0" borderId="4" xfId="0" applyFont="1" applyBorder="1"/>
    <xf numFmtId="0" fontId="11" fillId="0" borderId="0" xfId="0" applyFont="1" applyBorder="1"/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right"/>
    </xf>
    <xf numFmtId="0" fontId="10" fillId="0" borderId="1" xfId="0" applyFont="1" applyBorder="1"/>
    <xf numFmtId="0" fontId="11" fillId="0" borderId="7" xfId="0" applyFont="1" applyBorder="1"/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4" fontId="13" fillId="4" borderId="22" xfId="0" applyNumberFormat="1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64" fontId="0" fillId="4" borderId="21" xfId="0" applyNumberForma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0" fillId="6" borderId="9" xfId="0" applyNumberFormat="1" applyFill="1" applyBorder="1"/>
    <xf numFmtId="0" fontId="0" fillId="0" borderId="25" xfId="0" applyBorder="1"/>
    <xf numFmtId="164" fontId="0" fillId="4" borderId="21" xfId="0" applyNumberFormat="1" applyFill="1" applyBorder="1"/>
    <xf numFmtId="0" fontId="0" fillId="0" borderId="26" xfId="0" applyBorder="1"/>
    <xf numFmtId="0" fontId="1" fillId="0" borderId="0" xfId="0" applyFont="1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15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2" fontId="16" fillId="0" borderId="0" xfId="0" applyNumberFormat="1" applyFont="1" applyAlignment="1">
      <alignment horizontal="center"/>
    </xf>
    <xf numFmtId="2" fontId="2" fillId="0" borderId="0" xfId="0" applyNumberFormat="1" applyFont="1"/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0" fillId="5" borderId="9" xfId="0" applyNumberFormat="1" applyFill="1" applyBorder="1" applyAlignment="1">
      <alignment horizontal="center"/>
    </xf>
    <xf numFmtId="1" fontId="15" fillId="5" borderId="9" xfId="0" applyNumberFormat="1" applyFont="1" applyFill="1" applyBorder="1" applyAlignment="1">
      <alignment horizontal="center"/>
    </xf>
    <xf numFmtId="1" fontId="2" fillId="5" borderId="9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4" xfId="0" applyFont="1" applyBorder="1" applyAlignment="1">
      <alignment horizontal="center"/>
    </xf>
    <xf numFmtId="2" fontId="0" fillId="4" borderId="9" xfId="0" applyNumberFormat="1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12" fillId="0" borderId="1" xfId="0" applyFont="1" applyBorder="1"/>
    <xf numFmtId="0" fontId="0" fillId="0" borderId="2" xfId="0" applyBorder="1" applyAlignment="1">
      <alignment horizontal="left"/>
    </xf>
    <xf numFmtId="0" fontId="11" fillId="0" borderId="2" xfId="0" applyFont="1" applyBorder="1"/>
    <xf numFmtId="0" fontId="0" fillId="4" borderId="21" xfId="0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2" fontId="0" fillId="7" borderId="9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E7E7"/>
      <color rgb="FFEAF2EF"/>
      <color rgb="FFDDFFFF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93858481539095"/>
          <c:y val="0.16206128133704739"/>
          <c:w val="0.82175387954306134"/>
          <c:h val="0.66413221327835414"/>
        </c:manualLayout>
      </c:layout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146259842519687E-2"/>
                  <c:y val="-9.0848643919510058E-2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50-43FB-BD68-58CDF31F8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49088"/>
        <c:axId val="218949416"/>
      </c:scatterChart>
      <c:valAx>
        <c:axId val="218949088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416"/>
        <c:crosses val="autoZero"/>
        <c:crossBetween val="midCat"/>
      </c:valAx>
      <c:valAx>
        <c:axId val="21894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Flux</a:t>
                </a:r>
              </a:p>
            </c:rich>
          </c:tx>
          <c:layout>
            <c:manualLayout>
              <c:xMode val="edge"/>
              <c:yMode val="edge"/>
              <c:x val="1.8452031581592015E-2"/>
              <c:y val="0.4356037110960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9212650313274268"/>
                  <c:y val="-9.8722028678454032E-2"/>
                </c:manualLayout>
              </c:layout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2E-44C7-8346-1786F760F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463359"/>
        <c:axId val="996451711"/>
      </c:scatterChart>
      <c:valAx>
        <c:axId val="996463359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51711"/>
        <c:crosses val="autoZero"/>
        <c:crossBetween val="midCat"/>
      </c:valAx>
      <c:valAx>
        <c:axId val="99645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63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Sony</a:t>
            </a:r>
            <a:r>
              <a:rPr lang="en-US" baseline="0"/>
              <a:t> IMX 183</a:t>
            </a:r>
          </a:p>
          <a:p>
            <a:pPr>
              <a:defRPr/>
            </a:pPr>
            <a:r>
              <a:rPr lang="en-US"/>
              <a:t>Integrated Bit Depth and SNR vs </a:t>
            </a:r>
            <a:r>
              <a:rPr lang="en-US" baseline="0"/>
              <a:t>Gain</a:t>
            </a:r>
          </a:p>
          <a:p>
            <a:pPr>
              <a:defRPr/>
            </a:pPr>
            <a:r>
              <a:rPr lang="en-US" baseline="0"/>
              <a:t>3.0 hour, sub length varied to keep Swamp =2</a:t>
            </a:r>
          </a:p>
          <a:p>
            <a:pPr>
              <a:defRPr/>
            </a:pPr>
            <a:r>
              <a:rPr lang="en-US" baseline="0"/>
              <a:t>SkyFlux  = Signal = 0.035 e/sec</a:t>
            </a:r>
          </a:p>
          <a:p>
            <a:pPr>
              <a:defRPr/>
            </a:pPr>
            <a:r>
              <a:rPr lang="en-US" baseline="0"/>
              <a:t>Dark Current = 0.05 e/sec</a:t>
            </a:r>
          </a:p>
        </c:rich>
      </c:tx>
      <c:layout>
        <c:manualLayout>
          <c:xMode val="edge"/>
          <c:yMode val="edge"/>
          <c:x val="0.23330424090573468"/>
          <c:y val="3.45646446031770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87611346532373"/>
          <c:y val="0.19457721872816214"/>
          <c:w val="0.64008249586669796"/>
          <c:h val="0.6837167995509995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'ASI183-specs-DR-SNR'!$AE$4</c:f>
              <c:strCache>
                <c:ptCount val="1"/>
                <c:pt idx="0">
                  <c:v>Int Bits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'ASI183-specs-DR-SNR'!$A$5:$A$34</c:f>
              <c:numCache>
                <c:formatCode>General</c:formatCode>
                <c:ptCount val="30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111</c:v>
                </c:pt>
                <c:pt idx="13">
                  <c:v>120</c:v>
                </c:pt>
                <c:pt idx="14">
                  <c:v>130</c:v>
                </c:pt>
                <c:pt idx="15">
                  <c:v>140</c:v>
                </c:pt>
                <c:pt idx="16">
                  <c:v>150</c:v>
                </c:pt>
                <c:pt idx="17">
                  <c:v>160</c:v>
                </c:pt>
                <c:pt idx="18">
                  <c:v>170</c:v>
                </c:pt>
                <c:pt idx="19">
                  <c:v>178</c:v>
                </c:pt>
                <c:pt idx="20">
                  <c:v>180</c:v>
                </c:pt>
                <c:pt idx="21">
                  <c:v>190</c:v>
                </c:pt>
                <c:pt idx="22">
                  <c:v>200</c:v>
                </c:pt>
                <c:pt idx="23">
                  <c:v>210</c:v>
                </c:pt>
                <c:pt idx="24">
                  <c:v>220</c:v>
                </c:pt>
                <c:pt idx="25">
                  <c:v>230</c:v>
                </c:pt>
                <c:pt idx="26">
                  <c:v>240</c:v>
                </c:pt>
                <c:pt idx="27">
                  <c:v>250</c:v>
                </c:pt>
                <c:pt idx="28">
                  <c:v>260</c:v>
                </c:pt>
                <c:pt idx="29">
                  <c:v>270</c:v>
                </c:pt>
              </c:numCache>
            </c:numRef>
          </c:xVal>
          <c:yVal>
            <c:numRef>
              <c:f>'ASI183-specs-DR-SNR'!$AE$5:$AE$34</c:f>
              <c:numCache>
                <c:formatCode>0.00</c:formatCode>
                <c:ptCount val="30"/>
                <c:pt idx="0">
                  <c:v>12.617430097112338</c:v>
                </c:pt>
                <c:pt idx="1">
                  <c:v>12.517538084730855</c:v>
                </c:pt>
                <c:pt idx="2">
                  <c:v>12.440758364555276</c:v>
                </c:pt>
                <c:pt idx="3">
                  <c:v>12.36324519481026</c:v>
                </c:pt>
                <c:pt idx="4">
                  <c:v>12.28485683722427</c:v>
                </c:pt>
                <c:pt idx="5">
                  <c:v>12.205440803643171</c:v>
                </c:pt>
                <c:pt idx="6">
                  <c:v>12.124833581505953</c:v>
                </c:pt>
                <c:pt idx="7">
                  <c:v>12.042860440112266</c:v>
                </c:pt>
                <c:pt idx="8">
                  <c:v>11.959335334795153</c:v>
                </c:pt>
                <c:pt idx="9">
                  <c:v>11.874060926728223</c:v>
                </c:pt>
                <c:pt idx="10">
                  <c:v>11.786828736082622</c:v>
                </c:pt>
                <c:pt idx="11">
                  <c:v>11.697419445391281</c:v>
                </c:pt>
                <c:pt idx="12">
                  <c:v>11.688350019551647</c:v>
                </c:pt>
                <c:pt idx="13">
                  <c:v>11.605233450177119</c:v>
                </c:pt>
                <c:pt idx="14">
                  <c:v>11.510329295333044</c:v>
                </c:pt>
                <c:pt idx="15">
                  <c:v>11.412538104698138</c:v>
                </c:pt>
                <c:pt idx="16">
                  <c:v>11.311604817220786</c:v>
                </c:pt>
                <c:pt idx="17">
                  <c:v>11.207267920055727</c:v>
                </c:pt>
                <c:pt idx="18">
                  <c:v>11.099260774370366</c:v>
                </c:pt>
                <c:pt idx="19">
                  <c:v>11.010030905761198</c:v>
                </c:pt>
                <c:pt idx="20">
                  <c:v>10.987313054694029</c:v>
                </c:pt>
                <c:pt idx="21">
                  <c:v>10.87115225234448</c:v>
                </c:pt>
                <c:pt idx="22">
                  <c:v>10.750505175784678</c:v>
                </c:pt>
                <c:pt idx="23">
                  <c:v>10.625099360907987</c:v>
                </c:pt>
                <c:pt idx="24">
                  <c:v>10.494664282256959</c:v>
                </c:pt>
                <c:pt idx="25">
                  <c:v>10.358932231955892</c:v>
                </c:pt>
                <c:pt idx="26">
                  <c:v>10.217638706303658</c:v>
                </c:pt>
                <c:pt idx="27">
                  <c:v>10.070522109647772</c:v>
                </c:pt>
                <c:pt idx="28">
                  <c:v>9.9173225496346564</c:v>
                </c:pt>
                <c:pt idx="29">
                  <c:v>9.7577794542178715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44-4FD5-A751-EDFE3D6E1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335896"/>
        <c:axId val="384894256"/>
      </c:scatterChart>
      <c:valAx>
        <c:axId val="384894256"/>
        <c:scaling>
          <c:orientation val="minMax"/>
          <c:min val="1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Integrated Bit Depth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335896"/>
        <c:crosses val="autoZero"/>
        <c:crossBetween val="midCat"/>
      </c:valAx>
      <c:valAx>
        <c:axId val="392335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 10 x db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9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201253712035267"/>
          <c:y val="0.73650110637578758"/>
          <c:w val="0.20006552018138166"/>
          <c:h val="4.35206140818471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 vs.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102537182852143"/>
          <c:y val="0.17171296296296296"/>
          <c:w val="0.80053018372703411"/>
          <c:h val="0.6514432050160396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'Offset-FWC'!$B$1</c:f>
              <c:strCache>
                <c:ptCount val="1"/>
                <c:pt idx="0">
                  <c:v>Offset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23014151356080489"/>
                  <c:y val="1.036404081776773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'Offset-FWC'!$A$2:$A$29</c:f>
              <c:numCache>
                <c:formatCode>0</c:formatCode>
                <c:ptCount val="28"/>
                <c:pt idx="0">
                  <c:v>1E-4</c:v>
                </c:pt>
                <c:pt idx="1">
                  <c:v>10.0001</c:v>
                </c:pt>
                <c:pt idx="2">
                  <c:v>20.0001</c:v>
                </c:pt>
                <c:pt idx="3">
                  <c:v>30.0001</c:v>
                </c:pt>
                <c:pt idx="4">
                  <c:v>40.000100000000003</c:v>
                </c:pt>
                <c:pt idx="5">
                  <c:v>50.000100000000003</c:v>
                </c:pt>
                <c:pt idx="6">
                  <c:v>60.000100000000003</c:v>
                </c:pt>
                <c:pt idx="7">
                  <c:v>70.000100000000003</c:v>
                </c:pt>
                <c:pt idx="8">
                  <c:v>80.000100000000003</c:v>
                </c:pt>
                <c:pt idx="9">
                  <c:v>90.000100000000003</c:v>
                </c:pt>
                <c:pt idx="10">
                  <c:v>100.0001</c:v>
                </c:pt>
                <c:pt idx="11">
                  <c:v>110.0001</c:v>
                </c:pt>
                <c:pt idx="12">
                  <c:v>120.0001</c:v>
                </c:pt>
                <c:pt idx="13">
                  <c:v>130.0001</c:v>
                </c:pt>
                <c:pt idx="14">
                  <c:v>140.0001</c:v>
                </c:pt>
                <c:pt idx="15">
                  <c:v>150.0001</c:v>
                </c:pt>
                <c:pt idx="16">
                  <c:v>160.0001</c:v>
                </c:pt>
                <c:pt idx="17">
                  <c:v>170.0001</c:v>
                </c:pt>
                <c:pt idx="18" formatCode="General">
                  <c:v>180</c:v>
                </c:pt>
                <c:pt idx="19" formatCode="General">
                  <c:v>190</c:v>
                </c:pt>
                <c:pt idx="20" formatCode="General">
                  <c:v>200</c:v>
                </c:pt>
                <c:pt idx="21" formatCode="General">
                  <c:v>210</c:v>
                </c:pt>
                <c:pt idx="22" formatCode="General">
                  <c:v>220</c:v>
                </c:pt>
                <c:pt idx="23" formatCode="General">
                  <c:v>230</c:v>
                </c:pt>
                <c:pt idx="24" formatCode="General">
                  <c:v>240</c:v>
                </c:pt>
                <c:pt idx="25" formatCode="General">
                  <c:v>250</c:v>
                </c:pt>
                <c:pt idx="26" formatCode="General">
                  <c:v>260</c:v>
                </c:pt>
                <c:pt idx="27" formatCode="General">
                  <c:v>270</c:v>
                </c:pt>
              </c:numCache>
            </c:numRef>
          </c:xVal>
          <c:yVal>
            <c:numRef>
              <c:f>'Offset-FWC'!$B$2:$B$29</c:f>
              <c:numCache>
                <c:formatCode>0</c:formatCode>
                <c:ptCount val="28"/>
                <c:pt idx="0">
                  <c:v>7.0000049000017155</c:v>
                </c:pt>
                <c:pt idx="1">
                  <c:v>7.5075625240714432</c:v>
                </c:pt>
                <c:pt idx="2">
                  <c:v>8.0519222283441785</c:v>
                </c:pt>
                <c:pt idx="3">
                  <c:v>8.6357524647218114</c:v>
                </c:pt>
                <c:pt idx="4">
                  <c:v>9.2619151697004085</c:v>
                </c:pt>
                <c:pt idx="5">
                  <c:v>9.9334797935862227</c:v>
                </c:pt>
                <c:pt idx="6">
                  <c:v>10.653738346944669</c:v>
                </c:pt>
                <c:pt idx="7">
                  <c:v>11.426221538039929</c:v>
                </c:pt>
                <c:pt idx="8">
                  <c:v>12.254716080370962</c:v>
                </c:pt>
                <c:pt idx="9">
                  <c:v>13.143283255145462</c:v>
                </c:pt>
                <c:pt idx="10">
                  <c:v>14.096278819685057</c:v>
                </c:pt>
                <c:pt idx="11">
                  <c:v>15.118374359352753</c:v>
                </c:pt>
                <c:pt idx="12">
                  <c:v>16.214580187669799</c:v>
                </c:pt>
                <c:pt idx="13">
                  <c:v>17.390269906878387</c:v>
                </c:pt>
                <c:pt idx="14">
                  <c:v>18.651206749346073</c:v>
                </c:pt>
                <c:pt idx="15">
                  <c:v>20.003571828937524</c:v>
                </c:pt>
                <c:pt idx="16">
                  <c:v>21.453994440841868</c:v>
                </c:pt>
                <c:pt idx="17">
                  <c:v>23.009584558385384</c:v>
                </c:pt>
                <c:pt idx="18">
                  <c:v>24.677950411557678</c:v>
                </c:pt>
                <c:pt idx="19">
                  <c:v>26.467303712981469</c:v>
                </c:pt>
                <c:pt idx="20">
                  <c:v>28.386399767912728</c:v>
                </c:pt>
                <c:pt idx="21">
                  <c:v>30.444645987439188</c:v>
                </c:pt>
                <c:pt idx="22">
                  <c:v>32.652131896916877</c:v>
                </c:pt>
                <c:pt idx="23">
                  <c:v>35.019678594835113</c:v>
                </c:pt>
                <c:pt idx="24">
                  <c:v>37.558891797853818</c:v>
                </c:pt>
                <c:pt idx="25">
                  <c:v>40.282218732040114</c:v>
                </c:pt>
                <c:pt idx="26">
                  <c:v>43.203009149184879</c:v>
                </c:pt>
                <c:pt idx="27">
                  <c:v>46.335580767301551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41-4AFA-B2B7-880955ADA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297423"/>
        <c:axId val="620303247"/>
      </c:scatterChart>
      <c:valAx>
        <c:axId val="620297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03247"/>
        <c:crosses val="autoZero"/>
        <c:crossBetween val="midCat"/>
      </c:valAx>
      <c:valAx>
        <c:axId val="62030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Offset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974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'Offset-FWC'!$C$1</c:f>
              <c:strCache>
                <c:ptCount val="1"/>
                <c:pt idx="0">
                  <c:v>FWC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9.183508311461067E-3"/>
                  <c:y val="-0.38810987168270633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'Offset-FWC'!$A$2:$A$29</c:f>
              <c:numCache>
                <c:formatCode>0</c:formatCode>
                <c:ptCount val="28"/>
                <c:pt idx="0">
                  <c:v>1E-4</c:v>
                </c:pt>
                <c:pt idx="1">
                  <c:v>10.0001</c:v>
                </c:pt>
                <c:pt idx="2">
                  <c:v>20.0001</c:v>
                </c:pt>
                <c:pt idx="3">
                  <c:v>30.0001</c:v>
                </c:pt>
                <c:pt idx="4">
                  <c:v>40.000100000000003</c:v>
                </c:pt>
                <c:pt idx="5">
                  <c:v>50.000100000000003</c:v>
                </c:pt>
                <c:pt idx="6">
                  <c:v>60.000100000000003</c:v>
                </c:pt>
                <c:pt idx="7">
                  <c:v>70.000100000000003</c:v>
                </c:pt>
                <c:pt idx="8">
                  <c:v>80.000100000000003</c:v>
                </c:pt>
                <c:pt idx="9">
                  <c:v>90.000100000000003</c:v>
                </c:pt>
                <c:pt idx="10">
                  <c:v>100.0001</c:v>
                </c:pt>
                <c:pt idx="11">
                  <c:v>110.0001</c:v>
                </c:pt>
                <c:pt idx="12">
                  <c:v>120.0001</c:v>
                </c:pt>
                <c:pt idx="13">
                  <c:v>130.0001</c:v>
                </c:pt>
                <c:pt idx="14">
                  <c:v>140.0001</c:v>
                </c:pt>
                <c:pt idx="15">
                  <c:v>150.0001</c:v>
                </c:pt>
                <c:pt idx="16">
                  <c:v>160.0001</c:v>
                </c:pt>
                <c:pt idx="17">
                  <c:v>170.0001</c:v>
                </c:pt>
                <c:pt idx="18" formatCode="General">
                  <c:v>180</c:v>
                </c:pt>
                <c:pt idx="19" formatCode="General">
                  <c:v>190</c:v>
                </c:pt>
                <c:pt idx="20" formatCode="General">
                  <c:v>200</c:v>
                </c:pt>
                <c:pt idx="21" formatCode="General">
                  <c:v>210</c:v>
                </c:pt>
                <c:pt idx="22" formatCode="General">
                  <c:v>220</c:v>
                </c:pt>
                <c:pt idx="23" formatCode="General">
                  <c:v>230</c:v>
                </c:pt>
                <c:pt idx="24" formatCode="General">
                  <c:v>240</c:v>
                </c:pt>
                <c:pt idx="25" formatCode="General">
                  <c:v>250</c:v>
                </c:pt>
                <c:pt idx="26" formatCode="General">
                  <c:v>260</c:v>
                </c:pt>
                <c:pt idx="27" formatCode="General">
                  <c:v>270</c:v>
                </c:pt>
              </c:numCache>
            </c:numRef>
          </c:xVal>
          <c:yVal>
            <c:numRef>
              <c:f>'Offset-FWC'!$C$2:$C$29</c:f>
              <c:numCache>
                <c:formatCode>General</c:formatCode>
                <c:ptCount val="28"/>
                <c:pt idx="0">
                  <c:v>15000</c:v>
                </c:pt>
                <c:pt idx="5">
                  <c:v>8500</c:v>
                </c:pt>
                <c:pt idx="10">
                  <c:v>4800</c:v>
                </c:pt>
                <c:pt idx="15">
                  <c:v>2700</c:v>
                </c:pt>
                <c:pt idx="20">
                  <c:v>1500</c:v>
                </c:pt>
                <c:pt idx="25">
                  <c:v>900</c:v>
                </c:pt>
                <c:pt idx="27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05-46BB-8344-C284CBCCF1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972248"/>
        <c:axId val="517972576"/>
      </c:scatterChart>
      <c:valAx>
        <c:axId val="517972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72576"/>
        <c:crosses val="autoZero"/>
        <c:crossBetween val="midCat"/>
      </c:valAx>
      <c:valAx>
        <c:axId val="51797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72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129086</xdr:colOff>
      <xdr:row>18</xdr:row>
      <xdr:rowOff>108137</xdr:rowOff>
    </xdr:from>
    <xdr:to>
      <xdr:col>5</xdr:col>
      <xdr:colOff>134563</xdr:colOff>
      <xdr:row>34</xdr:row>
      <xdr:rowOff>118222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AEBCF503-1814-4C06-8FC1-046FBFA9C271}"/>
            </a:ext>
          </a:extLst>
        </xdr:cNvPr>
        <xdr:cNvCxnSpPr/>
      </xdr:nvCxnSpPr>
      <xdr:spPr>
        <a:xfrm flipH="1">
          <a:off x="4491536" y="3775262"/>
          <a:ext cx="5477" cy="3096185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119901</xdr:colOff>
      <xdr:row>34</xdr:row>
      <xdr:rowOff>108697</xdr:rowOff>
    </xdr:from>
    <xdr:to>
      <xdr:col>6</xdr:col>
      <xdr:colOff>872936</xdr:colOff>
      <xdr:row>34</xdr:row>
      <xdr:rowOff>108697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FF40FEB-B54B-40DE-BF5C-92B4B9D84DAC}"/>
            </a:ext>
          </a:extLst>
        </xdr:cNvPr>
        <xdr:cNvCxnSpPr/>
      </xdr:nvCxnSpPr>
      <xdr:spPr>
        <a:xfrm>
          <a:off x="4482351" y="6861922"/>
          <a:ext cx="104831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5</xdr:row>
      <xdr:rowOff>136712</xdr:rowOff>
    </xdr:from>
    <xdr:to>
      <xdr:col>5</xdr:col>
      <xdr:colOff>148476</xdr:colOff>
      <xdr:row>5</xdr:row>
      <xdr:rowOff>136712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D188982B-B9E8-4B06-9360-AF756CC19E46}"/>
            </a:ext>
          </a:extLst>
        </xdr:cNvPr>
        <xdr:cNvCxnSpPr/>
      </xdr:nvCxnSpPr>
      <xdr:spPr>
        <a:xfrm flipH="1">
          <a:off x="3886200" y="1327337"/>
          <a:ext cx="624726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138951</xdr:colOff>
      <xdr:row>18</xdr:row>
      <xdr:rowOff>108137</xdr:rowOff>
    </xdr:from>
    <xdr:to>
      <xdr:col>10</xdr:col>
      <xdr:colOff>377076</xdr:colOff>
      <xdr:row>18</xdr:row>
      <xdr:rowOff>108137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D915E210-EC88-4C9A-9C75-EB7AC1A369DB}"/>
            </a:ext>
          </a:extLst>
        </xdr:cNvPr>
        <xdr:cNvCxnSpPr/>
      </xdr:nvCxnSpPr>
      <xdr:spPr>
        <a:xfrm>
          <a:off x="4501401" y="3775262"/>
          <a:ext cx="46577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1019173</xdr:colOff>
      <xdr:row>11</xdr:row>
      <xdr:rowOff>79562</xdr:rowOff>
    </xdr:from>
    <xdr:to>
      <xdr:col>5</xdr:col>
      <xdr:colOff>158001</xdr:colOff>
      <xdr:row>11</xdr:row>
      <xdr:rowOff>79562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FFBB444F-633B-43CF-81E3-E5F847791EA9}"/>
            </a:ext>
          </a:extLst>
        </xdr:cNvPr>
        <xdr:cNvCxnSpPr/>
      </xdr:nvCxnSpPr>
      <xdr:spPr>
        <a:xfrm flipH="1">
          <a:off x="3905248" y="2413187"/>
          <a:ext cx="615203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367211</xdr:colOff>
      <xdr:row>18</xdr:row>
      <xdr:rowOff>108137</xdr:rowOff>
    </xdr:from>
    <xdr:to>
      <xdr:col>10</xdr:col>
      <xdr:colOff>367211</xdr:colOff>
      <xdr:row>21</xdr:row>
      <xdr:rowOff>151839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4EE20125-47C4-4A26-AB8A-54F911C351A1}"/>
            </a:ext>
          </a:extLst>
        </xdr:cNvPr>
        <xdr:cNvCxnSpPr/>
      </xdr:nvCxnSpPr>
      <xdr:spPr>
        <a:xfrm>
          <a:off x="9149261" y="3775262"/>
          <a:ext cx="0" cy="700927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130845</xdr:colOff>
      <xdr:row>11</xdr:row>
      <xdr:rowOff>78346</xdr:rowOff>
    </xdr:from>
    <xdr:to>
      <xdr:col>5</xdr:col>
      <xdr:colOff>148771</xdr:colOff>
      <xdr:row>18</xdr:row>
      <xdr:rowOff>106921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DC47658F-A1C1-4F37-91D7-3D140A508149}"/>
            </a:ext>
          </a:extLst>
        </xdr:cNvPr>
        <xdr:cNvCxnSpPr/>
      </xdr:nvCxnSpPr>
      <xdr:spPr>
        <a:xfrm flipV="1">
          <a:off x="4493295" y="2411971"/>
          <a:ext cx="17926" cy="1362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144089</xdr:colOff>
      <xdr:row>5</xdr:row>
      <xdr:rowOff>136712</xdr:rowOff>
    </xdr:from>
    <xdr:to>
      <xdr:col>5</xdr:col>
      <xdr:colOff>144090</xdr:colOff>
      <xdr:row>11</xdr:row>
      <xdr:rowOff>78954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A8692B0D-FAC5-4E79-A8D8-3A16E8159DF8}"/>
            </a:ext>
          </a:extLst>
        </xdr:cNvPr>
        <xdr:cNvCxnSpPr/>
      </xdr:nvCxnSpPr>
      <xdr:spPr>
        <a:xfrm flipH="1">
          <a:off x="4506539" y="1327337"/>
          <a:ext cx="1" cy="1085242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110444</xdr:colOff>
      <xdr:row>13</xdr:row>
      <xdr:rowOff>40140</xdr:rowOff>
    </xdr:from>
    <xdr:to>
      <xdr:col>11</xdr:col>
      <xdr:colOff>521833</xdr:colOff>
      <xdr:row>22</xdr:row>
      <xdr:rowOff>107269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569686</xdr:colOff>
      <xdr:row>13</xdr:row>
      <xdr:rowOff>33564</xdr:rowOff>
    </xdr:from>
    <xdr:to>
      <xdr:col>18</xdr:col>
      <xdr:colOff>349250</xdr:colOff>
      <xdr:row>22</xdr:row>
      <xdr:rowOff>112939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66675</xdr:colOff>
      <xdr:row>5</xdr:row>
      <xdr:rowOff>38100</xdr:rowOff>
    </xdr:from>
    <xdr:to>
      <xdr:col>2</xdr:col>
      <xdr:colOff>2514109</xdr:colOff>
      <xdr:row>5</xdr:row>
      <xdr:rowOff>647624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FE8CEA-DB25-4E11-B90F-5A078D4C5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1825" y="1123950"/>
          <a:ext cx="3923809" cy="6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152400</xdr:colOff>
      <xdr:row>4</xdr:row>
      <xdr:rowOff>66675</xdr:rowOff>
    </xdr:from>
    <xdr:to>
      <xdr:col>46</xdr:col>
      <xdr:colOff>395289</xdr:colOff>
      <xdr:row>32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498475</xdr:colOff>
      <xdr:row>1</xdr:row>
      <xdr:rowOff>53975</xdr:rowOff>
    </xdr:from>
    <xdr:to>
      <xdr:col>12</xdr:col>
      <xdr:colOff>193675</xdr:colOff>
      <xdr:row>16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338137</xdr:colOff>
      <xdr:row>1</xdr:row>
      <xdr:rowOff>61912</xdr:rowOff>
    </xdr:from>
    <xdr:to>
      <xdr:col>20</xdr:col>
      <xdr:colOff>33337</xdr:colOff>
      <xdr:row>15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010E19-3D71-4A5C-A203-3803816993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8"/>
  <sheetViews>
    <sheetView tabSelected="1" zoomScaleNormal="100" workbookViewId="0">
      <selection activeCell="B4" sqref="B4:E4"/>
    </sheetView>
  </sheetViews>
  <sheetFormatPr defaultRowHeight="14.5" x14ac:dyDescent="0.35"/>
  <cols>
    <col min="1" max="1" width="2" customWidth="1"/>
    <col min="2" max="2" width="8.54296875" customWidth="1"/>
    <col min="3" max="3" width="21.54296875" customWidth="1"/>
    <col min="4" max="4" width="11.1796875" customWidth="1"/>
    <col min="5" max="5" width="22.1796875" customWidth="1"/>
    <col min="6" max="6" width="4.453125" customWidth="1"/>
    <col min="7" max="7" width="25" customWidth="1"/>
    <col min="8" max="11" width="12.1796875" customWidth="1"/>
    <col min="12" max="12" width="2.453125" customWidth="1"/>
    <col min="16" max="16" width="16.1796875" customWidth="1"/>
    <col min="17" max="19" width="9.1796875" customWidth="1"/>
    <col min="20" max="20" width="17.1796875" customWidth="1"/>
    <col min="21" max="22" width="9.1796875" customWidth="1"/>
    <col min="23" max="23" width="15.81640625" customWidth="1"/>
    <col min="24" max="26" width="9.1796875" customWidth="1"/>
  </cols>
  <sheetData>
    <row r="1" spans="2:23" ht="22" customHeight="1" x14ac:dyDescent="0.55000000000000004">
      <c r="B1" s="139" t="s">
        <v>79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23" ht="22" customHeight="1" x14ac:dyDescent="0.45">
      <c r="B2" s="138" t="s">
        <v>145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" t="s">
        <v>144</v>
      </c>
    </row>
    <row r="3" spans="2:23" ht="22" customHeight="1" thickBot="1" x14ac:dyDescent="0.4">
      <c r="B3" s="140" t="s">
        <v>146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</row>
    <row r="4" spans="2:23" ht="22" customHeight="1" thickBot="1" x14ac:dyDescent="0.5">
      <c r="B4" s="152" t="s">
        <v>157</v>
      </c>
      <c r="C4" s="153"/>
      <c r="D4" s="153"/>
      <c r="E4" s="154"/>
      <c r="F4" s="13"/>
      <c r="G4" s="152" t="s">
        <v>148</v>
      </c>
      <c r="H4" s="153"/>
      <c r="I4" s="153"/>
      <c r="J4" s="153"/>
      <c r="K4" s="154"/>
      <c r="M4" s="149" t="s">
        <v>149</v>
      </c>
      <c r="N4" s="150"/>
      <c r="O4" s="150"/>
      <c r="P4" s="150"/>
      <c r="Q4" s="151"/>
    </row>
    <row r="5" spans="2:23" ht="15" thickBot="1" x14ac:dyDescent="0.4">
      <c r="B5" s="63" t="s">
        <v>65</v>
      </c>
      <c r="C5" s="2"/>
      <c r="D5" s="64"/>
      <c r="E5" s="3"/>
      <c r="G5" s="146" t="s">
        <v>104</v>
      </c>
      <c r="H5" s="147"/>
      <c r="I5" s="147"/>
      <c r="J5" s="147"/>
      <c r="K5" s="148"/>
      <c r="M5" s="143" t="s">
        <v>106</v>
      </c>
      <c r="N5" s="144"/>
      <c r="O5" s="144"/>
      <c r="P5" s="144"/>
      <c r="Q5" s="145"/>
      <c r="S5" s="101"/>
      <c r="T5" s="101"/>
    </row>
    <row r="6" spans="2:23" ht="15" thickBot="1" x14ac:dyDescent="0.4">
      <c r="B6" s="4"/>
      <c r="C6" s="65" t="s">
        <v>55</v>
      </c>
      <c r="D6" s="136">
        <f>H34</f>
        <v>18.373292896063656</v>
      </c>
      <c r="E6" s="6" t="s">
        <v>56</v>
      </c>
      <c r="G6" s="77" t="s">
        <v>88</v>
      </c>
      <c r="H6" s="2"/>
      <c r="I6" s="2"/>
      <c r="J6" s="2"/>
      <c r="K6" s="3"/>
      <c r="M6" s="1"/>
      <c r="N6" s="2"/>
      <c r="O6" s="2"/>
      <c r="P6" s="141" t="s">
        <v>77</v>
      </c>
      <c r="Q6" s="142"/>
      <c r="S6" s="13"/>
      <c r="T6" s="13"/>
    </row>
    <row r="7" spans="2:23" x14ac:dyDescent="0.35">
      <c r="B7" s="4"/>
      <c r="C7" s="65"/>
      <c r="D7" s="12"/>
      <c r="E7" s="6"/>
      <c r="G7" s="4" t="s">
        <v>89</v>
      </c>
      <c r="H7" s="72">
        <v>1600</v>
      </c>
      <c r="I7" s="74" t="s">
        <v>90</v>
      </c>
      <c r="J7" s="5"/>
      <c r="K7" s="6"/>
      <c r="M7" s="91" t="s">
        <v>73</v>
      </c>
      <c r="N7" s="129" t="s">
        <v>74</v>
      </c>
      <c r="O7" s="129" t="s">
        <v>75</v>
      </c>
      <c r="P7" s="129" t="s">
        <v>82</v>
      </c>
      <c r="Q7" s="130" t="s">
        <v>76</v>
      </c>
      <c r="S7" s="13"/>
      <c r="T7" s="13"/>
      <c r="U7" s="99"/>
      <c r="V7" s="99"/>
      <c r="W7" s="99"/>
    </row>
    <row r="8" spans="2:23" x14ac:dyDescent="0.35">
      <c r="B8" s="4"/>
      <c r="C8" s="65" t="s">
        <v>57</v>
      </c>
      <c r="D8" s="15">
        <v>0.09</v>
      </c>
      <c r="E8" s="6" t="s">
        <v>10</v>
      </c>
      <c r="G8" s="4" t="s">
        <v>91</v>
      </c>
      <c r="H8" s="72">
        <v>837</v>
      </c>
      <c r="I8" s="74" t="s">
        <v>92</v>
      </c>
      <c r="J8" s="5"/>
      <c r="K8" s="6"/>
      <c r="M8" s="54"/>
      <c r="N8" s="131" t="s">
        <v>147</v>
      </c>
      <c r="O8" s="131"/>
      <c r="P8" s="131"/>
      <c r="Q8" s="55"/>
      <c r="S8" s="13"/>
      <c r="T8" s="13"/>
      <c r="U8" s="43"/>
      <c r="V8" s="13"/>
      <c r="W8" s="13"/>
    </row>
    <row r="9" spans="2:23" x14ac:dyDescent="0.35">
      <c r="B9" s="4"/>
      <c r="C9" s="65" t="s">
        <v>58</v>
      </c>
      <c r="D9" s="15">
        <v>0.36</v>
      </c>
      <c r="E9" s="6" t="s">
        <v>10</v>
      </c>
      <c r="G9" s="4" t="s">
        <v>93</v>
      </c>
      <c r="H9" s="72">
        <v>829</v>
      </c>
      <c r="I9" s="74" t="s">
        <v>94</v>
      </c>
      <c r="J9" s="5"/>
      <c r="K9" s="6"/>
      <c r="M9" s="11">
        <v>0</v>
      </c>
      <c r="N9" s="87">
        <f>LOOKUP(M9,'ASI183-specs-DR-SNR'!$A$5:$A$34,'ASI183-specs-DR-SNR'!$O$5:$O$34)</f>
        <v>3.2973069597637048</v>
      </c>
      <c r="O9" s="56">
        <f t="shared" ref="O9:O38" si="0">$D$21/N9</f>
        <v>18.196667987593059</v>
      </c>
      <c r="P9" s="57">
        <f>LOOKUP(M9,'ASI183-specs-DR-SNR'!$A$5:$A$34,'ASI183-specs-DR-SNR'!$AE$5:$AE$34)</f>
        <v>12.617430097112338</v>
      </c>
      <c r="Q9" s="58">
        <f>LOOKUP(M9,'ASI183-specs-DR-SNR'!$A$5:$A$34,'ASI183-specs-DR-SNR'!$AG$5:$AG$34)</f>
        <v>1.3342238827984378</v>
      </c>
      <c r="S9" s="13"/>
      <c r="T9" s="13"/>
      <c r="U9" s="43"/>
      <c r="V9" s="13"/>
      <c r="W9" s="13"/>
    </row>
    <row r="10" spans="2:23" ht="15" thickBot="1" x14ac:dyDescent="0.4">
      <c r="B10" s="4"/>
      <c r="C10" s="65" t="s">
        <v>116</v>
      </c>
      <c r="D10" s="100">
        <f>D9/D8</f>
        <v>4</v>
      </c>
      <c r="E10" s="6"/>
      <c r="G10" s="7" t="s">
        <v>95</v>
      </c>
      <c r="H10" s="124">
        <v>120</v>
      </c>
      <c r="I10" s="78" t="s">
        <v>103</v>
      </c>
      <c r="J10" s="8"/>
      <c r="K10" s="9"/>
      <c r="M10" s="11">
        <f>M9+10</f>
        <v>10</v>
      </c>
      <c r="N10" s="87">
        <f>LOOKUP(M10,'ASI183-specs-DR-SNR'!$A$5:$A$34,'ASI183-specs-DR-SNR'!$O$5:$O$34)</f>
        <v>3.1061324227305938</v>
      </c>
      <c r="O10" s="56">
        <f t="shared" si="0"/>
        <v>19.316626542037167</v>
      </c>
      <c r="P10" s="57">
        <f>LOOKUP(M10,'ASI183-specs-DR-SNR'!$A$5:$A$34,'ASI183-specs-DR-SNR'!$AE$5:$AE$34)</f>
        <v>12.517538084730855</v>
      </c>
      <c r="Q10" s="58">
        <f>LOOKUP(M10,'ASI183-specs-DR-SNR'!$A$5:$A$34,'ASI183-specs-DR-SNR'!$AG$5:$AG$34)</f>
        <v>1.3342238827984376</v>
      </c>
      <c r="U10" s="43"/>
      <c r="V10" s="13"/>
      <c r="W10" s="13"/>
    </row>
    <row r="11" spans="2:23" ht="15" thickBot="1" x14ac:dyDescent="0.4">
      <c r="B11" s="4"/>
      <c r="C11" s="65" t="s">
        <v>59</v>
      </c>
      <c r="D11" s="15">
        <v>2.4</v>
      </c>
      <c r="E11" s="6" t="s">
        <v>60</v>
      </c>
      <c r="G11" s="4"/>
      <c r="H11" s="75"/>
      <c r="I11" s="74"/>
      <c r="J11" s="5"/>
      <c r="K11" s="6"/>
      <c r="M11" s="11">
        <f t="shared" ref="M11:M38" si="1">M10+10</f>
        <v>20</v>
      </c>
      <c r="N11" s="87">
        <f>LOOKUP(M11,'ASI183-specs-DR-SNR'!$A$5:$A$34,'ASI183-specs-DR-SNR'!$O$5:$O$34)</f>
        <v>2.9270546359188283</v>
      </c>
      <c r="O11" s="56">
        <f t="shared" si="0"/>
        <v>20.498421609122261</v>
      </c>
      <c r="P11" s="57">
        <f>LOOKUP(M11,'ASI183-specs-DR-SNR'!$A$5:$A$34,'ASI183-specs-DR-SNR'!$AE$5:$AE$34)</f>
        <v>12.440758364555276</v>
      </c>
      <c r="Q11" s="58">
        <f>LOOKUP(M11,'ASI183-specs-DR-SNR'!$A$5:$A$34,'ASI183-specs-DR-SNR'!$AG$5:$AG$34)</f>
        <v>1.3342238827984376</v>
      </c>
      <c r="U11" s="43"/>
      <c r="V11" s="13"/>
      <c r="W11" s="13"/>
    </row>
    <row r="12" spans="2:23" x14ac:dyDescent="0.35">
      <c r="B12" s="4"/>
      <c r="C12" s="65" t="s">
        <v>78</v>
      </c>
      <c r="D12" s="135">
        <f>K24</f>
        <v>4.7697688040873052E-3</v>
      </c>
      <c r="E12" s="6" t="s">
        <v>1</v>
      </c>
      <c r="G12" s="125" t="s">
        <v>96</v>
      </c>
      <c r="H12" s="126"/>
      <c r="I12" s="127"/>
      <c r="J12" s="2"/>
      <c r="K12" s="3"/>
      <c r="M12" s="11">
        <f t="shared" si="1"/>
        <v>30</v>
      </c>
      <c r="N12" s="87">
        <f>LOOKUP(M12,'ASI183-specs-DR-SNR'!$A$5:$A$34,'ASI183-specs-DR-SNR'!$O$5:$O$34)</f>
        <v>2.759495760426959</v>
      </c>
      <c r="O12" s="56">
        <f t="shared" si="0"/>
        <v>21.743102801765705</v>
      </c>
      <c r="P12" s="57">
        <f>LOOKUP(M12,'ASI183-specs-DR-SNR'!$A$5:$A$34,'ASI183-specs-DR-SNR'!$AE$5:$AE$34)</f>
        <v>12.36324519481026</v>
      </c>
      <c r="Q12" s="58">
        <f>LOOKUP(M12,'ASI183-specs-DR-SNR'!$A$5:$A$34,'ASI183-specs-DR-SNR'!$AG$5:$AG$34)</f>
        <v>1.3342238827984376</v>
      </c>
      <c r="U12" s="43"/>
      <c r="V12" s="13"/>
      <c r="W12" s="13"/>
    </row>
    <row r="13" spans="2:23" ht="15" thickBot="1" x14ac:dyDescent="0.4">
      <c r="B13" s="11" t="s">
        <v>120</v>
      </c>
      <c r="C13" s="65"/>
      <c r="D13" s="12"/>
      <c r="E13" s="6"/>
      <c r="G13" s="4" t="s">
        <v>89</v>
      </c>
      <c r="H13" s="122">
        <f>H7*(2^12/2^16)</f>
        <v>100</v>
      </c>
      <c r="I13" s="74" t="s">
        <v>90</v>
      </c>
      <c r="J13" s="5"/>
      <c r="K13" s="6"/>
      <c r="M13" s="11">
        <f t="shared" si="1"/>
        <v>40</v>
      </c>
      <c r="N13" s="87">
        <f>LOOKUP(M13,'ASI183-specs-DR-SNR'!$A$5:$A$34,'ASI183-specs-DR-SNR'!$O$5:$O$34)</f>
        <v>2.6028988917268086</v>
      </c>
      <c r="O13" s="56">
        <f t="shared" si="0"/>
        <v>23.051221924411728</v>
      </c>
      <c r="P13" s="57">
        <f>LOOKUP(M13,'ASI183-specs-DR-SNR'!$A$5:$A$34,'ASI183-specs-DR-SNR'!$AE$5:$AE$34)</f>
        <v>12.28485683722427</v>
      </c>
      <c r="Q13" s="58">
        <f>LOOKUP(M13,'ASI183-specs-DR-SNR'!$A$5:$A$34,'ASI183-specs-DR-SNR'!$AG$5:$AG$34)</f>
        <v>1.3342238827984376</v>
      </c>
      <c r="S13" s="101"/>
      <c r="T13" s="101"/>
    </row>
    <row r="14" spans="2:23" ht="15" thickBot="1" x14ac:dyDescent="0.4">
      <c r="B14" s="121" t="s">
        <v>156</v>
      </c>
      <c r="C14" s="65" t="s">
        <v>70</v>
      </c>
      <c r="D14" s="134">
        <f>LOOKUP(B14,Filters!A2:C23,Filters!B2:B23)</f>
        <v>578.44999999999993</v>
      </c>
      <c r="E14" s="6" t="s">
        <v>61</v>
      </c>
      <c r="G14" s="4" t="s">
        <v>91</v>
      </c>
      <c r="H14" s="123">
        <f>H8*(2^12/2^16)</f>
        <v>52.3125</v>
      </c>
      <c r="I14" s="74" t="s">
        <v>92</v>
      </c>
      <c r="J14" s="5"/>
      <c r="K14" s="6"/>
      <c r="M14" s="11">
        <f t="shared" si="1"/>
        <v>50</v>
      </c>
      <c r="N14" s="87">
        <f>LOOKUP(M14,'ASI183-specs-DR-SNR'!$A$5:$A$34,'ASI183-specs-DR-SNR'!$O$5:$O$34)</f>
        <v>2.4567280596634773</v>
      </c>
      <c r="O14" s="56">
        <f t="shared" si="0"/>
        <v>24.422727523297308</v>
      </c>
      <c r="P14" s="57">
        <f>LOOKUP(M14,'ASI183-specs-DR-SNR'!$A$5:$A$34,'ASI183-specs-DR-SNR'!$AE$5:$AE$34)</f>
        <v>12.205440803643171</v>
      </c>
      <c r="Q14" s="58">
        <f>LOOKUP(M14,'ASI183-specs-DR-SNR'!$A$5:$A$34,'ASI183-specs-DR-SNR'!$AG$5:$AG$34)</f>
        <v>1.3342238827984376</v>
      </c>
      <c r="S14" s="13"/>
      <c r="T14" s="13"/>
    </row>
    <row r="15" spans="2:23" ht="15" thickBot="1" x14ac:dyDescent="0.4">
      <c r="B15" s="4"/>
      <c r="C15" s="65" t="s">
        <v>62</v>
      </c>
      <c r="D15" s="134">
        <f>LOOKUP(B14,Filters!A2:C23,Filters!C2:C23)</f>
        <v>14</v>
      </c>
      <c r="E15" s="6" t="s">
        <v>61</v>
      </c>
      <c r="G15" s="7" t="s">
        <v>93</v>
      </c>
      <c r="H15" s="128">
        <f>H9*(2^12/2^16)</f>
        <v>51.8125</v>
      </c>
      <c r="I15" s="78" t="s">
        <v>94</v>
      </c>
      <c r="J15" s="8"/>
      <c r="K15" s="9"/>
      <c r="M15" s="11">
        <f t="shared" si="1"/>
        <v>60</v>
      </c>
      <c r="N15" s="87">
        <f>LOOKUP(M15,'ASI183-specs-DR-SNR'!$A$5:$A$34,'ASI183-specs-DR-SNR'!$O$5:$O$34)</f>
        <v>2.3204682284553368</v>
      </c>
      <c r="O15" s="56">
        <f t="shared" si="0"/>
        <v>25.85685046846779</v>
      </c>
      <c r="P15" s="57">
        <f>LOOKUP(M15,'ASI183-specs-DR-SNR'!$A$5:$A$34,'ASI183-specs-DR-SNR'!$AE$5:$AE$34)</f>
        <v>12.124833581505953</v>
      </c>
      <c r="Q15" s="58">
        <f>LOOKUP(M15,'ASI183-specs-DR-SNR'!$A$5:$A$34,'ASI183-specs-DR-SNR'!$AG$5:$AG$34)</f>
        <v>1.3342238827984376</v>
      </c>
      <c r="S15" s="13"/>
      <c r="T15" s="13"/>
    </row>
    <row r="16" spans="2:23" x14ac:dyDescent="0.35">
      <c r="B16" s="4"/>
      <c r="C16" s="65"/>
      <c r="D16" s="10"/>
      <c r="E16" s="6"/>
      <c r="G16" s="4"/>
      <c r="H16" s="75"/>
      <c r="I16" s="74"/>
      <c r="J16" s="5"/>
      <c r="K16" s="6"/>
      <c r="M16" s="11">
        <f t="shared" si="1"/>
        <v>70</v>
      </c>
      <c r="N16" s="87">
        <f>LOOKUP(M16,'ASI183-specs-DR-SNR'!$A$5:$A$34,'ASI183-specs-DR-SNR'!$O$5:$O$34)</f>
        <v>2.1936252966940355</v>
      </c>
      <c r="O16" s="56">
        <f t="shared" si="0"/>
        <v>27.351982168707064</v>
      </c>
      <c r="P16" s="57">
        <f>LOOKUP(M16,'ASI183-specs-DR-SNR'!$A$5:$A$34,'ASI183-specs-DR-SNR'!$AE$5:$AE$34)</f>
        <v>12.042860440112266</v>
      </c>
      <c r="Q16" s="58">
        <f>LOOKUP(M16,'ASI183-specs-DR-SNR'!$A$5:$A$34,'ASI183-specs-DR-SNR'!$AG$5:$AG$34)</f>
        <v>1.3342238827984376</v>
      </c>
      <c r="S16" s="13"/>
      <c r="T16" s="13"/>
    </row>
    <row r="17" spans="2:20" ht="15" thickBot="1" x14ac:dyDescent="0.4">
      <c r="B17" s="4"/>
      <c r="C17" s="65" t="s">
        <v>81</v>
      </c>
      <c r="D17" s="15">
        <v>0.6</v>
      </c>
      <c r="E17" s="6" t="s">
        <v>80</v>
      </c>
      <c r="G17" s="73" t="s">
        <v>150</v>
      </c>
      <c r="H17" s="5"/>
      <c r="I17" s="5"/>
      <c r="J17" s="5"/>
      <c r="K17" s="6"/>
      <c r="M17" s="11">
        <f t="shared" si="1"/>
        <v>80</v>
      </c>
      <c r="N17" s="87">
        <f>LOOKUP(M17,'ASI183-specs-DR-SNR'!$A$5:$A$34,'ASI183-specs-DR-SNR'!$O$5:$O$34)</f>
        <v>2.075726097344492</v>
      </c>
      <c r="O17" s="56">
        <f t="shared" si="0"/>
        <v>28.905547835409937</v>
      </c>
      <c r="P17" s="57">
        <f>LOOKUP(M17,'ASI183-specs-DR-SNR'!$A$5:$A$34,'ASI183-specs-DR-SNR'!$AE$5:$AE$34)</f>
        <v>11.959335334795153</v>
      </c>
      <c r="Q17" s="58">
        <f>LOOKUP(M17,'ASI183-specs-DR-SNR'!$A$5:$A$34,'ASI183-specs-DR-SNR'!$AG$5:$AG$34)</f>
        <v>1.3342238827984376</v>
      </c>
      <c r="S17" s="13"/>
      <c r="T17" s="13"/>
    </row>
    <row r="18" spans="2:20" ht="16" thickBot="1" x14ac:dyDescent="0.4">
      <c r="B18" s="4"/>
      <c r="C18" s="65"/>
      <c r="D18" s="12"/>
      <c r="E18" s="6"/>
      <c r="G18" s="4" t="s">
        <v>73</v>
      </c>
      <c r="H18" s="133">
        <v>100</v>
      </c>
      <c r="I18" s="5"/>
      <c r="J18" s="5"/>
      <c r="K18" s="6"/>
      <c r="M18" s="11">
        <f>M17+10</f>
        <v>90</v>
      </c>
      <c r="N18" s="87">
        <f>LOOKUP(M18,'ASI183-specs-DR-SNR'!$A$5:$A$34,'ASI183-specs-DR-SNR'!$O$5:$O$34)</f>
        <v>1.9663183977449057</v>
      </c>
      <c r="O18" s="56">
        <f t="shared" si="0"/>
        <v>30.513878153615241</v>
      </c>
      <c r="P18" s="57">
        <f>LOOKUP(M18,'ASI183-specs-DR-SNR'!$A$5:$A$34,'ASI183-specs-DR-SNR'!$AE$5:$AE$34)</f>
        <v>11.874060926728223</v>
      </c>
      <c r="Q18" s="58">
        <f>LOOKUP(M18,'ASI183-specs-DR-SNR'!$A$5:$A$34,'ASI183-specs-DR-SNR'!$AG$5:$AG$34)</f>
        <v>1.3342238827984376</v>
      </c>
    </row>
    <row r="19" spans="2:20" ht="16.5" x14ac:dyDescent="0.35">
      <c r="B19" s="4"/>
      <c r="C19" s="65" t="s">
        <v>63</v>
      </c>
      <c r="D19" s="15">
        <v>10</v>
      </c>
      <c r="E19" s="6" t="s">
        <v>64</v>
      </c>
      <c r="G19" s="4"/>
      <c r="H19" s="5"/>
      <c r="I19" s="5"/>
      <c r="J19" s="5"/>
      <c r="K19" s="6"/>
      <c r="M19" s="11">
        <f t="shared" si="1"/>
        <v>100</v>
      </c>
      <c r="N19" s="87">
        <f>LOOKUP(M19,'ASI183-specs-DR-SNR'!$A$5:$A$34,'ASI183-specs-DR-SNR'!$O$5:$O$34)</f>
        <v>1.8649708996067444</v>
      </c>
      <c r="O19" s="56">
        <f t="shared" si="0"/>
        <v>32.172083764230237</v>
      </c>
      <c r="P19" s="57">
        <f>LOOKUP(M19,'ASI183-specs-DR-SNR'!$A$5:$A$34,'ASI183-specs-DR-SNR'!$AE$5:$AE$34)</f>
        <v>11.786828736082622</v>
      </c>
      <c r="Q19" s="58">
        <f>LOOKUP(M19,'ASI183-specs-DR-SNR'!$A$5:$A$34,'ASI183-specs-DR-SNR'!$AG$5:$AG$34)</f>
        <v>1.3342238827984378</v>
      </c>
    </row>
    <row r="20" spans="2:20" x14ac:dyDescent="0.35">
      <c r="B20" s="4"/>
      <c r="C20" s="65"/>
      <c r="D20" s="10"/>
      <c r="E20" s="6"/>
      <c r="G20" s="4" t="s">
        <v>73</v>
      </c>
      <c r="H20" s="82">
        <f>LOOKUP(H18,'ASI183-specs-DR-SNR'!A5:A34,'ASI183-specs-DR-SNR'!B5:B34)</f>
        <v>1.1447445129809533</v>
      </c>
      <c r="I20" s="74" t="s">
        <v>97</v>
      </c>
      <c r="J20" s="5"/>
      <c r="K20" s="6"/>
      <c r="M20" s="11">
        <f t="shared" si="1"/>
        <v>110</v>
      </c>
      <c r="N20" s="87">
        <f>LOOKUP(M20,'ASI183-specs-DR-SNR'!$A$5:$A$34,'ASI183-specs-DR-SNR'!$O$5:$O$34)</f>
        <v>1.7712732390147523</v>
      </c>
      <c r="O20" s="56">
        <f t="shared" si="0"/>
        <v>33.873938068061264</v>
      </c>
      <c r="P20" s="57">
        <f>LOOKUP(M20,'ASI183-specs-DR-SNR'!$A$5:$A$34,'ASI183-specs-DR-SNR'!$AE$5:$AE$34)</f>
        <v>11.697419445391281</v>
      </c>
      <c r="Q20" s="58">
        <f>LOOKUP(M20,'ASI183-specs-DR-SNR'!$A$5:$A$34,'ASI183-specs-DR-SNR'!$AG$5:$AG$34)</f>
        <v>1.3342238827984376</v>
      </c>
    </row>
    <row r="21" spans="2:20" ht="17.25" customHeight="1" thickBot="1" x14ac:dyDescent="0.4">
      <c r="B21" s="7"/>
      <c r="C21" s="66" t="s">
        <v>68</v>
      </c>
      <c r="D21" s="132">
        <v>60</v>
      </c>
      <c r="E21" s="9" t="s">
        <v>69</v>
      </c>
      <c r="G21" s="7" t="s">
        <v>29</v>
      </c>
      <c r="H21" s="85">
        <f>LOOKUP(H18,'ASI183-specs-DR-SNR'!A5:A34,'ASI183-specs-DR-SNR'!E5:E34)</f>
        <v>2.2562000000000002</v>
      </c>
      <c r="I21" s="78" t="s">
        <v>98</v>
      </c>
      <c r="J21" s="8"/>
      <c r="K21" s="9"/>
      <c r="M21" s="115">
        <v>111</v>
      </c>
      <c r="N21" s="87">
        <f>LOOKUP(M21,'ASI183-specs-DR-SNR'!$A$5:$A$34,'ASI183-specs-DR-SNR'!$O$5:$O$34)</f>
        <v>1.7623090396392174</v>
      </c>
      <c r="O21" s="56">
        <f t="shared" si="0"/>
        <v>34.046241975972215</v>
      </c>
      <c r="P21" s="57">
        <f>LOOKUP(M21,'ASI183-specs-DR-SNR'!$A$5:$A$34,'ASI183-specs-DR-SNR'!$AE$5:$AE$34)</f>
        <v>11.688350019551647</v>
      </c>
      <c r="Q21" s="58">
        <f>LOOKUP(M21,'ASI183-specs-DR-SNR'!$A$5:$A$34,'ASI183-specs-DR-SNR'!$AG$5:$AG$34)</f>
        <v>1.3342238827984376</v>
      </c>
    </row>
    <row r="22" spans="2:20" ht="17.25" customHeight="1" thickBot="1" x14ac:dyDescent="0.4">
      <c r="C22" s="14"/>
      <c r="G22" s="5"/>
      <c r="H22" s="75"/>
      <c r="I22" s="74"/>
      <c r="J22" s="5"/>
      <c r="K22" s="5"/>
      <c r="M22" s="11">
        <f>M20+10</f>
        <v>120</v>
      </c>
      <c r="N22" s="87">
        <f>LOOKUP(M22,'ASI183-specs-DR-SNR'!$A$5:$A$34,'ASI183-specs-DR-SNR'!$O$5:$O$34)</f>
        <v>1.6848359864269469</v>
      </c>
      <c r="O22" s="56">
        <f t="shared" si="0"/>
        <v>35.611774964068026</v>
      </c>
      <c r="P22" s="57">
        <f>LOOKUP(M22,'ASI183-specs-DR-SNR'!$A$5:$A$34,'ASI183-specs-DR-SNR'!$AE$5:$AE$34)</f>
        <v>11.605233450177119</v>
      </c>
      <c r="Q22" s="58">
        <f>LOOKUP(M22,'ASI183-specs-DR-SNR'!$A$5:$A$34,'ASI183-specs-DR-SNR'!$AG$5:$AG$34)</f>
        <v>1.3342238827984378</v>
      </c>
    </row>
    <row r="23" spans="2:20" x14ac:dyDescent="0.35">
      <c r="B23" s="63" t="s">
        <v>66</v>
      </c>
      <c r="C23" s="67"/>
      <c r="D23" s="2"/>
      <c r="E23" s="3"/>
      <c r="G23" s="63" t="s">
        <v>66</v>
      </c>
      <c r="H23" s="80" t="s">
        <v>99</v>
      </c>
      <c r="I23" s="80" t="s">
        <v>100</v>
      </c>
      <c r="J23" s="80" t="s">
        <v>102</v>
      </c>
      <c r="K23" s="79" t="s">
        <v>1</v>
      </c>
      <c r="M23" s="11">
        <f t="shared" si="1"/>
        <v>130</v>
      </c>
      <c r="N23" s="87">
        <f>LOOKUP(M23,'ASI183-specs-DR-SNR'!$A$5:$A$34,'ASI183-specs-DR-SNR'!$O$5:$O$34)</f>
        <v>1.6052906466746231</v>
      </c>
      <c r="O23" s="56">
        <f t="shared" si="0"/>
        <v>37.37640914079369</v>
      </c>
      <c r="P23" s="57">
        <f>LOOKUP(M23,'ASI183-specs-DR-SNR'!$A$5:$A$34,'ASI183-specs-DR-SNR'!$AE$5:$AE$34)</f>
        <v>11.510329295333044</v>
      </c>
      <c r="Q23" s="58">
        <f>LOOKUP(M23,'ASI183-specs-DR-SNR'!$A$5:$A$34,'ASI183-specs-DR-SNR'!$AG$5:$AG$34)</f>
        <v>1.3342238827984376</v>
      </c>
    </row>
    <row r="24" spans="2:20" x14ac:dyDescent="0.35">
      <c r="B24" s="4"/>
      <c r="C24" s="65" t="s">
        <v>19</v>
      </c>
      <c r="D24" s="51">
        <f>(D11/D9)*0.0036*180/PI()</f>
        <v>1.3750987083139758</v>
      </c>
      <c r="E24" s="6" t="s">
        <v>8</v>
      </c>
      <c r="G24" s="4" t="s">
        <v>91</v>
      </c>
      <c r="H24" s="82">
        <f>H14-H15</f>
        <v>0.5</v>
      </c>
      <c r="I24" s="82">
        <f>H24*H20</f>
        <v>0.57237225649047663</v>
      </c>
      <c r="J24" s="82">
        <f>H24/H10</f>
        <v>4.1666666666666666E-3</v>
      </c>
      <c r="K24" s="86">
        <f>I24/H10</f>
        <v>4.7697688040873052E-3</v>
      </c>
      <c r="M24" s="11">
        <f t="shared" si="1"/>
        <v>140</v>
      </c>
      <c r="N24" s="87">
        <f>LOOKUP(M24,'ASI183-specs-DR-SNR'!$A$5:$A$34,'ASI183-specs-DR-SNR'!$O$5:$O$34)</f>
        <v>1.5322896589623454</v>
      </c>
      <c r="O24" s="56">
        <f t="shared" si="0"/>
        <v>39.157087335975064</v>
      </c>
      <c r="P24" s="57">
        <f>LOOKUP(M24,'ASI183-specs-DR-SNR'!$A$5:$A$34,'ASI183-specs-DR-SNR'!$AE$5:$AE$34)</f>
        <v>11.412538104698138</v>
      </c>
      <c r="Q24" s="58">
        <f>LOOKUP(M24,'ASI183-specs-DR-SNR'!$A$5:$A$34,'ASI183-specs-DR-SNR'!$AG$5:$AG$34)</f>
        <v>1.3342238827984378</v>
      </c>
    </row>
    <row r="25" spans="2:20" x14ac:dyDescent="0.35">
      <c r="B25" s="4"/>
      <c r="C25" s="65"/>
      <c r="D25" s="5"/>
      <c r="E25" s="6"/>
      <c r="G25" s="4" t="s">
        <v>101</v>
      </c>
      <c r="H25" s="82">
        <f>H13-H14</f>
        <v>47.6875</v>
      </c>
      <c r="I25" s="82">
        <f>H25*H20</f>
        <v>54.590003962779207</v>
      </c>
      <c r="J25" s="82">
        <f>H25/H10</f>
        <v>0.39739583333333334</v>
      </c>
      <c r="K25" s="81">
        <f>I25/H10</f>
        <v>0.45491669968982673</v>
      </c>
      <c r="L25" s="5"/>
      <c r="M25" s="11">
        <f t="shared" si="1"/>
        <v>150</v>
      </c>
      <c r="N25" s="87">
        <f>LOOKUP(M25,'ASI183-specs-DR-SNR'!$A$5:$A$34,'ASI183-specs-DR-SNR'!$O$5:$O$34)</f>
        <v>1.4655063968679569</v>
      </c>
      <c r="O25" s="56">
        <f t="shared" si="0"/>
        <v>40.941479428701555</v>
      </c>
      <c r="P25" s="57">
        <f>LOOKUP(M25,'ASI183-specs-DR-SNR'!$A$5:$A$34,'ASI183-specs-DR-SNR'!$AE$5:$AE$34)</f>
        <v>11.311604817220786</v>
      </c>
      <c r="Q25" s="58">
        <f>LOOKUP(M25,'ASI183-specs-DR-SNR'!$A$5:$A$34,'ASI183-specs-DR-SNR'!$AG$5:$AG$34)</f>
        <v>1.3342238827984378</v>
      </c>
    </row>
    <row r="26" spans="2:20" ht="16.5" x14ac:dyDescent="0.35">
      <c r="B26" s="4"/>
      <c r="C26" s="65" t="s">
        <v>151</v>
      </c>
      <c r="D26" s="50">
        <f xml:space="preserve"> (-0.00000045063*D14^2 + 0.000090632*D14 + 0.62647)*10^(-0.4*(D6-20.7))</f>
        <v>4.5020461773880163</v>
      </c>
      <c r="E26" s="6" t="s">
        <v>110</v>
      </c>
      <c r="G26" s="4"/>
      <c r="H26" s="5"/>
      <c r="I26" s="5"/>
      <c r="J26" s="5"/>
      <c r="K26" s="6"/>
      <c r="L26" s="5"/>
      <c r="M26" s="11">
        <f t="shared" si="1"/>
        <v>160</v>
      </c>
      <c r="N26" s="87">
        <f>LOOKUP(M26,'ASI183-specs-DR-SNR'!$A$5:$A$34,'ASI183-specs-DR-SNR'!$O$5:$O$34)</f>
        <v>1.4046351683425722</v>
      </c>
      <c r="O26" s="56">
        <f t="shared" si="0"/>
        <v>42.715718182393381</v>
      </c>
      <c r="P26" s="57">
        <f>LOOKUP(M26,'ASI183-specs-DR-SNR'!$A$5:$A$34,'ASI183-specs-DR-SNR'!$AE$5:$AE$34)</f>
        <v>11.207267920055727</v>
      </c>
      <c r="Q26" s="58">
        <f>LOOKUP(M26,'ASI183-specs-DR-SNR'!$A$5:$A$34,'ASI183-specs-DR-SNR'!$AG$5:$AG$34)</f>
        <v>1.3342238827984376</v>
      </c>
    </row>
    <row r="27" spans="2:20" x14ac:dyDescent="0.35">
      <c r="B27" s="4"/>
      <c r="C27" s="65" t="s">
        <v>152</v>
      </c>
      <c r="D27" s="50">
        <f>D17*D26*D15*D24^2*(PI()*D8^2/4)</f>
        <v>0.45491669968982645</v>
      </c>
      <c r="E27" s="6" t="s">
        <v>67</v>
      </c>
      <c r="G27" s="76" t="s">
        <v>154</v>
      </c>
      <c r="H27" s="50">
        <f>K25</f>
        <v>0.45491669968982673</v>
      </c>
      <c r="I27" s="5" t="s">
        <v>67</v>
      </c>
      <c r="J27" s="5"/>
      <c r="K27" s="6"/>
      <c r="L27" s="5"/>
      <c r="M27" s="11">
        <f t="shared" si="1"/>
        <v>170</v>
      </c>
      <c r="N27" s="87">
        <f>LOOKUP(M27,'ASI183-specs-DR-SNR'!$A$5:$A$34,'ASI183-specs-DR-SNR'!$O$5:$O$34)</f>
        <v>1.3493912157105805</v>
      </c>
      <c r="O27" s="56">
        <f t="shared" si="0"/>
        <v>44.464495767748417</v>
      </c>
      <c r="P27" s="57">
        <f>LOOKUP(M27,'ASI183-specs-DR-SNR'!$A$5:$A$34,'ASI183-specs-DR-SNR'!$AE$5:$AE$34)</f>
        <v>11.099260774370366</v>
      </c>
      <c r="Q27" s="58">
        <f>LOOKUP(M27,'ASI183-specs-DR-SNR'!$A$5:$A$34,'ASI183-specs-DR-SNR'!$AG$5:$AG$34)</f>
        <v>1.3342238827984376</v>
      </c>
    </row>
    <row r="28" spans="2:20" x14ac:dyDescent="0.35">
      <c r="B28" s="4"/>
      <c r="C28" s="65" t="s">
        <v>153</v>
      </c>
      <c r="D28" s="50">
        <f>D27/D17</f>
        <v>0.75819449948304407</v>
      </c>
      <c r="E28" s="6" t="s">
        <v>67</v>
      </c>
      <c r="G28" s="76"/>
      <c r="H28" s="5"/>
      <c r="I28" s="5"/>
      <c r="J28" s="5"/>
      <c r="K28" s="6"/>
      <c r="L28" s="5"/>
      <c r="M28" s="115">
        <v>178</v>
      </c>
      <c r="N28" s="87">
        <f>LOOKUP(M28,'ASI183-specs-DR-SNR'!$A$5:$A$34,'ASI183-specs-DR-SNR'!$O$5:$O$34)</f>
        <v>1.3090696995941189</v>
      </c>
      <c r="O28" s="56">
        <f t="shared" si="0"/>
        <v>45.834075923232497</v>
      </c>
      <c r="P28" s="57">
        <f>LOOKUP(M28,'ASI183-specs-DR-SNR'!$A$5:$A$34,'ASI183-specs-DR-SNR'!$AE$5:$AE$34)</f>
        <v>11.010030905761198</v>
      </c>
      <c r="Q28" s="58">
        <f>LOOKUP(M28,'ASI183-specs-DR-SNR'!$A$5:$A$34,'ASI183-specs-DR-SNR'!$AG$5:$AG$34)</f>
        <v>1.3342238827984374</v>
      </c>
    </row>
    <row r="29" spans="2:20" ht="16.5" x14ac:dyDescent="0.35">
      <c r="B29" s="4"/>
      <c r="C29" s="65"/>
      <c r="D29" s="5"/>
      <c r="E29" s="6"/>
      <c r="G29" s="76" t="s">
        <v>105</v>
      </c>
      <c r="H29" s="50">
        <f>H27/(D17*D15*D24^2*(PI()*D8^2/4))</f>
        <v>4.5020461773880189</v>
      </c>
      <c r="I29" s="5" t="s">
        <v>109</v>
      </c>
      <c r="J29" s="5"/>
      <c r="K29" s="6"/>
      <c r="L29" s="5"/>
      <c r="M29" s="11">
        <f>M27+10</f>
        <v>180</v>
      </c>
      <c r="N29" s="87">
        <f>LOOKUP(M29,'ASI183-specs-DR-SNR'!$A$5:$A$34,'ASI183-specs-DR-SNR'!$O$5:$O$34)</f>
        <v>1.2995107156696468</v>
      </c>
      <c r="O29" s="56">
        <f t="shared" si="0"/>
        <v>46.17122373560543</v>
      </c>
      <c r="P29" s="57">
        <f>LOOKUP(M29,'ASI183-specs-DR-SNR'!$A$5:$A$34,'ASI183-specs-DR-SNR'!$AE$5:$AE$34)</f>
        <v>10.987313054694029</v>
      </c>
      <c r="Q29" s="58">
        <f>LOOKUP(M29,'ASI183-specs-DR-SNR'!$A$5:$A$34,'ASI183-specs-DR-SNR'!$AG$5:$AG$34)</f>
        <v>1.3342238827984376</v>
      </c>
    </row>
    <row r="30" spans="2:20" ht="16.5" x14ac:dyDescent="0.35">
      <c r="B30" s="4"/>
      <c r="C30" s="65" t="s">
        <v>113</v>
      </c>
      <c r="D30" s="95">
        <v>22</v>
      </c>
      <c r="E30" s="96" t="s">
        <v>114</v>
      </c>
      <c r="G30" s="76" t="s">
        <v>105</v>
      </c>
      <c r="H30" s="50">
        <f>H27/D17</f>
        <v>0.75819449948304463</v>
      </c>
      <c r="I30" s="5" t="s">
        <v>67</v>
      </c>
      <c r="J30" s="5"/>
      <c r="K30" s="6"/>
      <c r="L30" s="5"/>
      <c r="M30" s="11">
        <f t="shared" si="1"/>
        <v>190</v>
      </c>
      <c r="N30" s="87">
        <f>LOOKUP(M30,'ASI183-specs-DR-SNR'!$A$5:$A$34,'ASI183-specs-DR-SNR'!$O$5:$O$34)</f>
        <v>1.2547507792907082</v>
      </c>
      <c r="O30" s="56">
        <f t="shared" si="0"/>
        <v>47.818260797508408</v>
      </c>
      <c r="P30" s="57">
        <f>LOOKUP(M30,'ASI183-specs-DR-SNR'!$A$5:$A$34,'ASI183-specs-DR-SNR'!$AE$5:$AE$34)</f>
        <v>10.87115225234448</v>
      </c>
      <c r="Q30" s="58">
        <f>LOOKUP(M30,'ASI183-specs-DR-SNR'!$A$5:$A$34,'ASI183-specs-DR-SNR'!$AG$5:$AG$34)</f>
        <v>1.3342238827984376</v>
      </c>
    </row>
    <row r="31" spans="2:20" ht="16.5" x14ac:dyDescent="0.35">
      <c r="B31" s="4"/>
      <c r="C31" s="65"/>
      <c r="D31" s="50">
        <f xml:space="preserve"> (-0.000001*D14^2 + 0.00064*D14+ 0.4905)*10^(-0.4*((D30)-20.7))</f>
        <v>0.15888074643798136</v>
      </c>
      <c r="E31" s="6" t="s">
        <v>110</v>
      </c>
      <c r="G31" s="76"/>
      <c r="H31" s="52"/>
      <c r="I31" s="5"/>
      <c r="J31" s="5"/>
      <c r="K31" s="6"/>
      <c r="L31" s="5"/>
      <c r="M31" s="11">
        <f t="shared" si="1"/>
        <v>200</v>
      </c>
      <c r="N31" s="87">
        <f>LOOKUP(M31,'ASI183-specs-DR-SNR'!$A$5:$A$34,'ASI183-specs-DR-SNR'!$O$5:$O$34)</f>
        <v>1.2148894520179776</v>
      </c>
      <c r="O31" s="56">
        <f t="shared" si="0"/>
        <v>49.387209593710537</v>
      </c>
      <c r="P31" s="57">
        <f>LOOKUP(M31,'ASI183-specs-DR-SNR'!$A$5:$A$34,'ASI183-specs-DR-SNR'!$AE$5:$AE$34)</f>
        <v>10.750505175784678</v>
      </c>
      <c r="Q31" s="58">
        <f>LOOKUP(M31,'ASI183-specs-DR-SNR'!$A$5:$A$34,'ASI183-specs-DR-SNR'!$AG$5:$AG$34)</f>
        <v>1.3342238827984378</v>
      </c>
    </row>
    <row r="32" spans="2:20" ht="17" thickBot="1" x14ac:dyDescent="0.4">
      <c r="B32" s="7"/>
      <c r="C32" s="8"/>
      <c r="D32" s="97">
        <f>D17*D31*D15*D24^2*(PI()*D8^2/4)</f>
        <v>1.6054367717693283E-2</v>
      </c>
      <c r="E32" s="98" t="s">
        <v>67</v>
      </c>
      <c r="G32" s="76" t="s">
        <v>86</v>
      </c>
      <c r="H32" s="50">
        <f>(-0.00000045063*D14^2 + 0.000090632*D14 + 0.62647)*10^(-0.4*(20.7-20.7))</f>
        <v>0.52811329850142497</v>
      </c>
      <c r="I32" s="5" t="s">
        <v>109</v>
      </c>
      <c r="J32" s="5"/>
      <c r="K32" s="6"/>
      <c r="L32" s="5"/>
      <c r="M32" s="11">
        <f t="shared" si="1"/>
        <v>210</v>
      </c>
      <c r="N32" s="87">
        <f>LOOKUP(M32,'ASI183-specs-DR-SNR'!$A$5:$A$34,'ASI183-specs-DR-SNR'!$O$5:$O$34)</f>
        <v>1.1797257136689414</v>
      </c>
      <c r="O32" s="56">
        <f t="shared" si="0"/>
        <v>50.85927966544044</v>
      </c>
      <c r="P32" s="57">
        <f>LOOKUP(M32,'ASI183-specs-DR-SNR'!$A$5:$A$34,'ASI183-specs-DR-SNR'!$AE$5:$AE$34)</f>
        <v>10.625099360907987</v>
      </c>
      <c r="Q32" s="58">
        <f>LOOKUP(M32,'ASI183-specs-DR-SNR'!$A$5:$A$34,'ASI183-specs-DR-SNR'!$AG$5:$AG$34)</f>
        <v>1.3342238827984376</v>
      </c>
    </row>
    <row r="33" spans="2:17" ht="15" thickBot="1" x14ac:dyDescent="0.4">
      <c r="G33" s="76"/>
      <c r="H33" s="5"/>
      <c r="I33" s="5"/>
      <c r="J33" s="5"/>
      <c r="K33" s="6"/>
      <c r="L33" s="5"/>
      <c r="M33" s="11">
        <f t="shared" si="1"/>
        <v>220</v>
      </c>
      <c r="N33" s="87">
        <f>LOOKUP(M33,'ASI183-specs-DR-SNR'!$A$5:$A$34,'ASI183-specs-DR-SNR'!$O$5:$O$34)</f>
        <v>1.1490794784343612</v>
      </c>
      <c r="O33" s="56">
        <f t="shared" si="0"/>
        <v>52.215709292581693</v>
      </c>
      <c r="P33" s="57">
        <f>LOOKUP(M33,'ASI183-specs-DR-SNR'!$A$5:$A$34,'ASI183-specs-DR-SNR'!$AE$5:$AE$34)</f>
        <v>10.494664282256959</v>
      </c>
      <c r="Q33" s="58">
        <f>LOOKUP(M33,'ASI183-specs-DR-SNR'!$A$5:$A$34,'ASI183-specs-DR-SNR'!$AG$5:$AG$34)</f>
        <v>1.3342238827984376</v>
      </c>
    </row>
    <row r="34" spans="2:17" ht="15" thickBot="1" x14ac:dyDescent="0.4">
      <c r="B34" t="s">
        <v>112</v>
      </c>
      <c r="E34" s="137">
        <v>111</v>
      </c>
      <c r="G34" s="76" t="s">
        <v>84</v>
      </c>
      <c r="H34" s="70">
        <f>20.7-(2.5*LOG(H29/H32))</f>
        <v>18.373292896063656</v>
      </c>
      <c r="I34" s="5" t="s">
        <v>56</v>
      </c>
      <c r="J34" s="5"/>
      <c r="K34" s="6"/>
      <c r="L34" s="5"/>
      <c r="M34" s="11">
        <f>M33+10</f>
        <v>230</v>
      </c>
      <c r="N34" s="87">
        <f>LOOKUP(M34,'ASI183-specs-DR-SNR'!$A$5:$A$34,'ASI183-specs-DR-SNR'!$O$5:$O$34)</f>
        <v>1.1227915948782716</v>
      </c>
      <c r="O34" s="56">
        <f t="shared" si="0"/>
        <v>53.438234017511462</v>
      </c>
      <c r="P34" s="57">
        <f>LOOKUP(M34,'ASI183-specs-DR-SNR'!$A$5:$A$34,'ASI183-specs-DR-SNR'!$AE$5:$AE$34)</f>
        <v>10.358932231955892</v>
      </c>
      <c r="Q34" s="58">
        <f>LOOKUP(M34,'ASI183-specs-DR-SNR'!$A$5:$A$34,'ASI183-specs-DR-SNR'!$AG$5:$AG$34)</f>
        <v>1.3342238827984374</v>
      </c>
    </row>
    <row r="35" spans="2:17" ht="15" thickBot="1" x14ac:dyDescent="0.4">
      <c r="G35" s="7"/>
      <c r="H35" s="8"/>
      <c r="I35" s="8"/>
      <c r="J35" s="8"/>
      <c r="K35" s="9"/>
      <c r="L35" s="5"/>
      <c r="M35" s="11">
        <f t="shared" si="1"/>
        <v>240</v>
      </c>
      <c r="N35" s="87">
        <f>LOOKUP(M35,'ASI183-specs-DR-SNR'!$A$5:$A$34,'ASI183-specs-DR-SNR'!$O$5:$O$34)</f>
        <v>1.1007238459379824</v>
      </c>
      <c r="O35" s="56">
        <f t="shared" si="0"/>
        <v>54.509584962130958</v>
      </c>
      <c r="P35" s="57">
        <f>LOOKUP(M35,'ASI183-specs-DR-SNR'!$A$5:$A$34,'ASI183-specs-DR-SNR'!$AE$5:$AE$34)</f>
        <v>10.217638706303658</v>
      </c>
      <c r="Q35" s="58">
        <f>LOOKUP(M35,'ASI183-specs-DR-SNR'!$A$5:$A$34,'ASI183-specs-DR-SNR'!$AG$5:$AG$34)</f>
        <v>1.3342238827984376</v>
      </c>
    </row>
    <row r="36" spans="2:17" x14ac:dyDescent="0.35">
      <c r="C36" s="91" t="s">
        <v>68</v>
      </c>
      <c r="D36" s="93" t="s">
        <v>111</v>
      </c>
      <c r="E36" s="94" t="s">
        <v>76</v>
      </c>
      <c r="K36" s="5"/>
      <c r="L36" s="5"/>
      <c r="M36" s="11">
        <f t="shared" si="1"/>
        <v>250</v>
      </c>
      <c r="N36" s="87">
        <f>LOOKUP(M36,'ASI183-specs-DR-SNR'!$A$5:$A$34,'ASI183-specs-DR-SNR'!$O$5:$O$34)</f>
        <v>1.0827589489240776</v>
      </c>
      <c r="O36" s="56">
        <f t="shared" si="0"/>
        <v>55.413995940297845</v>
      </c>
      <c r="P36" s="57">
        <f>LOOKUP(M36,'ASI183-specs-DR-SNR'!$A$5:$A$34,'ASI183-specs-DR-SNR'!$AE$5:$AE$34)</f>
        <v>10.070522109647772</v>
      </c>
      <c r="Q36" s="58">
        <f>LOOKUP(M36,'ASI183-specs-DR-SNR'!$A$5:$A$34,'ASI183-specs-DR-SNR'!$AG$5:$AG$34)</f>
        <v>1.3342238827984378</v>
      </c>
    </row>
    <row r="37" spans="2:17" x14ac:dyDescent="0.35">
      <c r="C37" s="11">
        <f>D21*0.25</f>
        <v>15</v>
      </c>
      <c r="D37" s="57">
        <f t="shared" ref="D37:D46" si="2">LOOKUP($E$34,$M$9:$M$38,$P$9:$P$38)+(LOG(SQRT((C37/$D$21)*LOOKUP($E$34,$M$9:$M$38,$O$9:$O$38)))/LOG(2)-LOG(SQRT((LOOKUP($E$34,$M$9:$M$38,$O$9:$O$38))))/LOG(2))</f>
        <v>10.688350019551647</v>
      </c>
      <c r="E37" s="58">
        <f t="shared" ref="E37:E46" si="3">SQRT(C37/$D$21)*LOOKUP($E$34,$M$9:$M$38,$Q$9:$Q$38)</f>
        <v>0.66711194139921881</v>
      </c>
      <c r="H37" s="102"/>
      <c r="I37" s="102"/>
      <c r="J37" s="102"/>
      <c r="K37" s="5"/>
      <c r="L37" s="5"/>
      <c r="M37" s="11">
        <f t="shared" si="1"/>
        <v>260</v>
      </c>
      <c r="N37" s="87">
        <f>LOOKUP(M37,'ASI183-specs-DR-SNR'!$A$5:$A$34,'ASI183-specs-DR-SNR'!$O$5:$O$34)</f>
        <v>1.0688005555204143</v>
      </c>
      <c r="O37" s="56">
        <f t="shared" si="0"/>
        <v>56.137695372721005</v>
      </c>
      <c r="P37" s="57">
        <f>LOOKUP(M37,'ASI183-specs-DR-SNR'!$A$5:$A$34,'ASI183-specs-DR-SNR'!$AE$5:$AE$34)</f>
        <v>9.9173225496346564</v>
      </c>
      <c r="Q37" s="58">
        <f>LOOKUP(M37,'ASI183-specs-DR-SNR'!$A$5:$A$34,'ASI183-specs-DR-SNR'!$AG$5:$AG$34)</f>
        <v>1.3342238827984376</v>
      </c>
    </row>
    <row r="38" spans="2:17" ht="15" thickBot="1" x14ac:dyDescent="0.4">
      <c r="C38" s="11">
        <f>D21*0.5</f>
        <v>30</v>
      </c>
      <c r="D38" s="57">
        <f t="shared" si="2"/>
        <v>11.188350019551647</v>
      </c>
      <c r="E38" s="58">
        <f t="shared" si="3"/>
        <v>0.94343875514782072</v>
      </c>
      <c r="H38" s="13"/>
      <c r="I38" s="13"/>
      <c r="J38" s="13"/>
      <c r="K38" s="5"/>
      <c r="L38" s="5"/>
      <c r="M38" s="59">
        <f t="shared" si="1"/>
        <v>270</v>
      </c>
      <c r="N38" s="88">
        <f>LOOKUP(M38,'ASI183-specs-DR-SNR'!$A$5:$A$34,'ASI183-specs-DR-SNR'!$O$5:$O$34)</f>
        <v>1.0587732517841255</v>
      </c>
      <c r="O38" s="60">
        <f t="shared" si="0"/>
        <v>56.669357578588951</v>
      </c>
      <c r="P38" s="61">
        <f>LOOKUP(M38,'ASI183-specs-DR-SNR'!$A$5:$A$34,'ASI183-specs-DR-SNR'!$AE$5:$AE$34)</f>
        <v>9.7577794542178715</v>
      </c>
      <c r="Q38" s="62">
        <f>LOOKUP(M38,'ASI183-specs-DR-SNR'!$A$5:$A$34,'ASI183-specs-DR-SNR'!$AG$5:$AG$34)</f>
        <v>1.3342238827984378</v>
      </c>
    </row>
    <row r="39" spans="2:17" x14ac:dyDescent="0.35">
      <c r="C39" s="11">
        <f>D21*0.75</f>
        <v>45</v>
      </c>
      <c r="D39" s="57">
        <f t="shared" si="2"/>
        <v>11.480831269912226</v>
      </c>
      <c r="E39" s="58">
        <f t="shared" si="3"/>
        <v>1.1554717768393583</v>
      </c>
      <c r="H39" s="13"/>
      <c r="I39" s="13"/>
      <c r="J39" s="13"/>
      <c r="K39" s="5"/>
      <c r="L39" s="5"/>
      <c r="M39" s="5"/>
      <c r="N39" s="5"/>
      <c r="O39" s="5"/>
      <c r="P39" s="5"/>
      <c r="Q39" s="5"/>
    </row>
    <row r="40" spans="2:17" x14ac:dyDescent="0.35">
      <c r="C40" s="92">
        <f>D21*1</f>
        <v>60</v>
      </c>
      <c r="D40" s="57">
        <f t="shared" si="2"/>
        <v>11.688350019551647</v>
      </c>
      <c r="E40" s="58">
        <f t="shared" si="3"/>
        <v>1.3342238827984376</v>
      </c>
      <c r="H40" s="13"/>
      <c r="I40" s="13"/>
      <c r="J40" s="13"/>
      <c r="K40" s="5"/>
      <c r="L40" s="5"/>
      <c r="M40" s="5"/>
      <c r="N40" s="5"/>
      <c r="O40" s="5"/>
      <c r="P40" s="5"/>
      <c r="Q40" s="5"/>
    </row>
    <row r="41" spans="2:17" x14ac:dyDescent="0.35">
      <c r="C41" s="11">
        <f>D21*1.5</f>
        <v>90</v>
      </c>
      <c r="D41" s="57">
        <f t="shared" si="2"/>
        <v>11.980831269912226</v>
      </c>
      <c r="E41" s="58">
        <f t="shared" si="3"/>
        <v>1.634083857745559</v>
      </c>
      <c r="H41" s="13"/>
      <c r="I41" s="13"/>
      <c r="J41" s="13"/>
      <c r="K41" s="5"/>
      <c r="M41" s="5"/>
      <c r="N41" s="5"/>
      <c r="O41" s="5"/>
      <c r="P41" s="5"/>
      <c r="Q41" s="5"/>
    </row>
    <row r="42" spans="2:17" x14ac:dyDescent="0.35">
      <c r="C42" s="11">
        <f>D21*2</f>
        <v>120</v>
      </c>
      <c r="D42" s="57">
        <f t="shared" si="2"/>
        <v>12.188350019551647</v>
      </c>
      <c r="E42" s="58">
        <f t="shared" si="3"/>
        <v>1.8868775102956414</v>
      </c>
      <c r="H42" s="13"/>
      <c r="I42" s="13"/>
      <c r="J42" s="13"/>
      <c r="K42" s="5"/>
      <c r="M42" s="5"/>
      <c r="N42" s="5"/>
      <c r="O42" s="5"/>
      <c r="P42" s="5"/>
      <c r="Q42" s="5"/>
    </row>
    <row r="43" spans="2:17" x14ac:dyDescent="0.35">
      <c r="C43" s="11">
        <f>D21*3</f>
        <v>180</v>
      </c>
      <c r="D43" s="57">
        <f t="shared" si="2"/>
        <v>12.480831269912226</v>
      </c>
      <c r="E43" s="58">
        <f t="shared" si="3"/>
        <v>2.3109435536787166</v>
      </c>
      <c r="K43" s="5"/>
      <c r="Q43" s="5"/>
    </row>
    <row r="44" spans="2:17" x14ac:dyDescent="0.35">
      <c r="C44" s="11">
        <f>D21*4</f>
        <v>240</v>
      </c>
      <c r="D44" s="57">
        <f t="shared" si="2"/>
        <v>12.688350019551647</v>
      </c>
      <c r="E44" s="58">
        <f t="shared" si="3"/>
        <v>2.6684477655968752</v>
      </c>
      <c r="K44" s="5"/>
      <c r="Q44" s="5"/>
    </row>
    <row r="45" spans="2:17" x14ac:dyDescent="0.35">
      <c r="C45" s="11">
        <f>D21*5</f>
        <v>300</v>
      </c>
      <c r="D45" s="57">
        <f t="shared" si="2"/>
        <v>12.84931406699533</v>
      </c>
      <c r="E45" s="58">
        <f t="shared" si="3"/>
        <v>2.983415299141019</v>
      </c>
      <c r="Q45" s="5"/>
    </row>
    <row r="46" spans="2:17" ht="15" thickBot="1" x14ac:dyDescent="0.4">
      <c r="C46" s="59">
        <f>D21*10</f>
        <v>600</v>
      </c>
      <c r="D46" s="61">
        <f t="shared" si="2"/>
        <v>13.349314066995328</v>
      </c>
      <c r="E46" s="62">
        <f t="shared" si="3"/>
        <v>4.2191863782366132</v>
      </c>
      <c r="Q46" s="5"/>
    </row>
    <row r="47" spans="2:17" x14ac:dyDescent="0.35">
      <c r="Q47" s="5"/>
    </row>
    <row r="48" spans="2:17" x14ac:dyDescent="0.35">
      <c r="Q48" s="5"/>
    </row>
  </sheetData>
  <mergeCells count="9">
    <mergeCell ref="B2:O2"/>
    <mergeCell ref="B1:O1"/>
    <mergeCell ref="B3:O3"/>
    <mergeCell ref="P6:Q6"/>
    <mergeCell ref="M5:Q5"/>
    <mergeCell ref="G5:K5"/>
    <mergeCell ref="M4:Q4"/>
    <mergeCell ref="B4:E4"/>
    <mergeCell ref="G4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Filters!$A$2:$A$23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workbookViewId="0">
      <selection activeCell="A2" sqref="A2:C23"/>
    </sheetView>
  </sheetViews>
  <sheetFormatPr defaultRowHeight="14.5" x14ac:dyDescent="0.35"/>
  <cols>
    <col min="1" max="1" width="20.08984375" customWidth="1"/>
    <col min="2" max="2" width="12.81640625" customWidth="1"/>
  </cols>
  <sheetData>
    <row r="1" spans="1:3" x14ac:dyDescent="0.35">
      <c r="A1" s="120" t="s">
        <v>121</v>
      </c>
      <c r="B1" s="116" t="s">
        <v>122</v>
      </c>
      <c r="C1" s="116" t="s">
        <v>123</v>
      </c>
    </row>
    <row r="2" spans="1:3" x14ac:dyDescent="0.35">
      <c r="A2" s="14" t="s">
        <v>124</v>
      </c>
      <c r="B2" s="44">
        <v>450</v>
      </c>
      <c r="C2" s="43">
        <v>100</v>
      </c>
    </row>
    <row r="3" spans="1:3" x14ac:dyDescent="0.35">
      <c r="A3" s="14" t="s">
        <v>125</v>
      </c>
      <c r="B3" s="44">
        <v>550</v>
      </c>
      <c r="C3" s="43">
        <v>100</v>
      </c>
    </row>
    <row r="4" spans="1:3" x14ac:dyDescent="0.35">
      <c r="A4" s="14" t="s">
        <v>126</v>
      </c>
      <c r="B4" s="44">
        <v>656</v>
      </c>
      <c r="C4" s="43">
        <v>12</v>
      </c>
    </row>
    <row r="5" spans="1:3" x14ac:dyDescent="0.35">
      <c r="A5" s="14" t="s">
        <v>127</v>
      </c>
      <c r="B5" s="44">
        <v>656</v>
      </c>
      <c r="C5" s="43">
        <v>3</v>
      </c>
    </row>
    <row r="6" spans="1:3" x14ac:dyDescent="0.35">
      <c r="A6" s="14" t="s">
        <v>128</v>
      </c>
      <c r="B6" s="44">
        <v>656</v>
      </c>
      <c r="C6" s="43">
        <v>6</v>
      </c>
    </row>
    <row r="7" spans="1:3" x14ac:dyDescent="0.35">
      <c r="A7" s="14" t="s">
        <v>129</v>
      </c>
      <c r="B7" s="44">
        <v>656</v>
      </c>
      <c r="C7" s="43">
        <v>7</v>
      </c>
    </row>
    <row r="8" spans="1:3" x14ac:dyDescent="0.35">
      <c r="A8" s="14" t="s">
        <v>130</v>
      </c>
      <c r="B8" s="44">
        <v>578.5</v>
      </c>
      <c r="C8" s="43">
        <v>20</v>
      </c>
    </row>
    <row r="9" spans="1:3" x14ac:dyDescent="0.35">
      <c r="A9" s="14" t="s">
        <v>155</v>
      </c>
      <c r="B9" s="44">
        <v>526</v>
      </c>
      <c r="C9" s="43">
        <v>53</v>
      </c>
    </row>
    <row r="10" spans="1:3" x14ac:dyDescent="0.35">
      <c r="A10" s="14" t="s">
        <v>156</v>
      </c>
      <c r="B10" s="44">
        <f>((7*500.6) + (7*656.3))/14</f>
        <v>578.44999999999993</v>
      </c>
      <c r="C10" s="43">
        <v>14</v>
      </c>
    </row>
    <row r="11" spans="1:3" x14ac:dyDescent="0.35">
      <c r="A11" s="14" t="s">
        <v>131</v>
      </c>
      <c r="B11" s="44">
        <v>550</v>
      </c>
      <c r="C11" s="43">
        <v>300</v>
      </c>
    </row>
    <row r="12" spans="1:3" x14ac:dyDescent="0.35">
      <c r="A12" s="14" t="s">
        <v>132</v>
      </c>
      <c r="B12" s="44">
        <v>500</v>
      </c>
      <c r="C12" s="43">
        <v>12</v>
      </c>
    </row>
    <row r="13" spans="1:3" x14ac:dyDescent="0.35">
      <c r="A13" s="14" t="s">
        <v>133</v>
      </c>
      <c r="B13" s="44">
        <v>500</v>
      </c>
      <c r="C13" s="43">
        <v>3</v>
      </c>
    </row>
    <row r="14" spans="1:3" x14ac:dyDescent="0.35">
      <c r="A14" s="14" t="s">
        <v>134</v>
      </c>
      <c r="B14" s="44">
        <v>500</v>
      </c>
      <c r="C14" s="43">
        <v>6</v>
      </c>
    </row>
    <row r="15" spans="1:3" x14ac:dyDescent="0.35">
      <c r="A15" s="14" t="s">
        <v>135</v>
      </c>
      <c r="B15" s="44">
        <v>500</v>
      </c>
      <c r="C15" s="43">
        <v>7</v>
      </c>
    </row>
    <row r="16" spans="1:3" x14ac:dyDescent="0.35">
      <c r="A16" s="14" t="s">
        <v>136</v>
      </c>
      <c r="B16" s="44">
        <v>552</v>
      </c>
      <c r="C16" s="43">
        <v>30</v>
      </c>
    </row>
    <row r="17" spans="1:3" x14ac:dyDescent="0.35">
      <c r="A17" s="14" t="s">
        <v>137</v>
      </c>
      <c r="B17" s="44">
        <v>650</v>
      </c>
      <c r="C17" s="43">
        <v>100</v>
      </c>
    </row>
    <row r="18" spans="1:3" x14ac:dyDescent="0.35">
      <c r="A18" s="14" t="s">
        <v>138</v>
      </c>
      <c r="B18" s="44">
        <v>672</v>
      </c>
      <c r="C18" s="43">
        <v>12</v>
      </c>
    </row>
    <row r="19" spans="1:3" x14ac:dyDescent="0.35">
      <c r="A19" s="14" t="s">
        <v>139</v>
      </c>
      <c r="B19" s="44">
        <v>672</v>
      </c>
      <c r="C19" s="43">
        <v>3</v>
      </c>
    </row>
    <row r="20" spans="1:3" x14ac:dyDescent="0.35">
      <c r="A20" s="14" t="s">
        <v>140</v>
      </c>
      <c r="B20" s="44">
        <v>672</v>
      </c>
      <c r="C20" s="43">
        <v>6</v>
      </c>
    </row>
    <row r="21" spans="1:3" x14ac:dyDescent="0.35">
      <c r="A21" s="14" t="s">
        <v>141</v>
      </c>
      <c r="B21" s="44">
        <v>672</v>
      </c>
      <c r="C21" s="43">
        <v>7</v>
      </c>
    </row>
    <row r="22" spans="1:3" x14ac:dyDescent="0.35">
      <c r="A22" s="14" t="s">
        <v>142</v>
      </c>
      <c r="B22" s="44">
        <v>547.79999999999995</v>
      </c>
      <c r="C22" s="43">
        <v>13</v>
      </c>
    </row>
    <row r="23" spans="1:3" x14ac:dyDescent="0.35">
      <c r="A23" s="14" t="s">
        <v>143</v>
      </c>
      <c r="B23" s="44">
        <v>552</v>
      </c>
      <c r="C23" s="4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="85" zoomScaleNormal="85" workbookViewId="0">
      <selection activeCell="B20" sqref="B20"/>
    </sheetView>
  </sheetViews>
  <sheetFormatPr defaultRowHeight="14.5" x14ac:dyDescent="0.35"/>
  <cols>
    <col min="1" max="1" width="46.54296875" customWidth="1"/>
    <col min="2" max="2" width="22.1796875" customWidth="1"/>
    <col min="3" max="3" width="38" customWidth="1"/>
    <col min="4" max="4" width="32.1796875" customWidth="1"/>
  </cols>
  <sheetData>
    <row r="1" spans="1:11" ht="28.5" x14ac:dyDescent="0.65">
      <c r="A1" s="157" t="s">
        <v>54</v>
      </c>
      <c r="B1" s="157"/>
      <c r="C1" s="157"/>
      <c r="D1" s="157"/>
    </row>
    <row r="2" spans="1:11" ht="19.5" customHeight="1" x14ac:dyDescent="0.35">
      <c r="A2" s="160" t="s">
        <v>16</v>
      </c>
      <c r="B2" s="160"/>
      <c r="C2" s="160"/>
      <c r="D2" s="160"/>
    </row>
    <row r="4" spans="1:11" x14ac:dyDescent="0.35">
      <c r="B4" s="155" t="s">
        <v>3</v>
      </c>
      <c r="C4" s="156"/>
    </row>
    <row r="5" spans="1:11" ht="7.5" customHeight="1" x14ac:dyDescent="0.35">
      <c r="B5" s="19"/>
      <c r="C5" s="20"/>
    </row>
    <row r="6" spans="1:11" ht="53.25" customHeight="1" x14ac:dyDescent="0.35">
      <c r="B6" s="158"/>
      <c r="C6" s="159"/>
    </row>
    <row r="7" spans="1:11" x14ac:dyDescent="0.35">
      <c r="B7" s="17"/>
      <c r="C7" s="18"/>
    </row>
    <row r="8" spans="1:11" x14ac:dyDescent="0.35">
      <c r="B8" s="19" t="s">
        <v>4</v>
      </c>
      <c r="C8" s="20" t="s">
        <v>5</v>
      </c>
    </row>
    <row r="9" spans="1:11" ht="7.5" customHeight="1" x14ac:dyDescent="0.35">
      <c r="B9" s="19"/>
      <c r="C9" s="20"/>
      <c r="E9" t="s">
        <v>71</v>
      </c>
      <c r="F9" t="s">
        <v>72</v>
      </c>
    </row>
    <row r="10" spans="1:11" x14ac:dyDescent="0.35">
      <c r="B10" s="19">
        <v>450</v>
      </c>
      <c r="C10" s="21">
        <v>0.57599999999999996</v>
      </c>
      <c r="D10" s="27"/>
      <c r="E10" s="13">
        <v>450</v>
      </c>
      <c r="F10" s="13">
        <v>0.57599999999999996</v>
      </c>
      <c r="G10" s="13"/>
      <c r="H10" s="13"/>
      <c r="I10" s="13"/>
      <c r="J10" s="13"/>
      <c r="K10" s="13"/>
    </row>
    <row r="11" spans="1:11" x14ac:dyDescent="0.35">
      <c r="B11" s="19" t="s">
        <v>15</v>
      </c>
      <c r="C11" s="20">
        <v>0.54900000000000004</v>
      </c>
      <c r="D11" s="27"/>
      <c r="E11" s="13">
        <v>550</v>
      </c>
      <c r="F11" s="53">
        <v>0.54</v>
      </c>
      <c r="G11" s="13"/>
      <c r="H11" s="13"/>
      <c r="I11" s="13"/>
      <c r="J11" s="13"/>
      <c r="K11" s="13"/>
    </row>
    <row r="12" spans="1:11" x14ac:dyDescent="0.35">
      <c r="B12" s="19">
        <v>550</v>
      </c>
      <c r="C12" s="21">
        <v>0.54</v>
      </c>
      <c r="D12" s="27"/>
      <c r="E12" s="13">
        <v>656</v>
      </c>
      <c r="F12" s="13">
        <v>0.49199999999999999</v>
      </c>
      <c r="G12" s="13"/>
      <c r="H12" s="13"/>
      <c r="I12" s="13"/>
      <c r="J12" s="13"/>
      <c r="K12" s="13"/>
    </row>
    <row r="13" spans="1:11" x14ac:dyDescent="0.35">
      <c r="B13" s="19">
        <v>650</v>
      </c>
      <c r="C13" s="21">
        <v>0.48399999999999999</v>
      </c>
      <c r="D13" s="27"/>
      <c r="E13" s="13"/>
      <c r="F13" s="13"/>
      <c r="G13" s="13"/>
      <c r="H13" s="13"/>
      <c r="I13" s="13"/>
      <c r="J13" s="13"/>
      <c r="K13" s="13"/>
    </row>
    <row r="14" spans="1:11" x14ac:dyDescent="0.35">
      <c r="B14" s="22" t="s">
        <v>14</v>
      </c>
      <c r="C14" s="23">
        <v>0.49199999999999999</v>
      </c>
      <c r="D14" s="27"/>
      <c r="E14" s="13"/>
      <c r="F14" s="13"/>
      <c r="G14" s="13"/>
      <c r="H14" s="13"/>
      <c r="I14" s="13"/>
      <c r="J14" s="13"/>
      <c r="K14" s="13"/>
    </row>
    <row r="16" spans="1:11" ht="27" customHeight="1" x14ac:dyDescent="0.35">
      <c r="A16" s="24" t="s">
        <v>13</v>
      </c>
      <c r="B16" s="26">
        <v>0.54</v>
      </c>
      <c r="C16" s="25" t="s">
        <v>2</v>
      </c>
    </row>
    <row r="18" spans="1:5" x14ac:dyDescent="0.35">
      <c r="A18" s="24" t="s">
        <v>17</v>
      </c>
      <c r="B18" s="15">
        <f>'Gain-Sub-Exp'!D6</f>
        <v>18.373292896063656</v>
      </c>
    </row>
    <row r="20" spans="1:5" x14ac:dyDescent="0.35">
      <c r="A20" s="24" t="s">
        <v>12</v>
      </c>
      <c r="B20" s="16">
        <f>'Gain-Sub-Exp'!D26</f>
        <v>4.5020461773880163</v>
      </c>
    </row>
    <row r="22" spans="1:5" x14ac:dyDescent="0.35">
      <c r="B22" s="14" t="s">
        <v>6</v>
      </c>
      <c r="C22" s="15">
        <f>'Gain-Sub-Exp'!D15</f>
        <v>14</v>
      </c>
      <c r="D22" t="s">
        <v>7</v>
      </c>
    </row>
    <row r="23" spans="1:5" x14ac:dyDescent="0.35">
      <c r="B23" s="14" t="s">
        <v>19</v>
      </c>
      <c r="C23" s="68">
        <f>'Gain-Sub-Exp'!D24</f>
        <v>1.3750987083139758</v>
      </c>
      <c r="D23" t="s">
        <v>8</v>
      </c>
    </row>
    <row r="24" spans="1:5" x14ac:dyDescent="0.35">
      <c r="B24" s="14" t="s">
        <v>9</v>
      </c>
      <c r="C24" s="15">
        <f>'Gain-Sub-Exp'!D8</f>
        <v>0.09</v>
      </c>
      <c r="D24" t="s">
        <v>10</v>
      </c>
    </row>
    <row r="25" spans="1:5" x14ac:dyDescent="0.35">
      <c r="B25" s="14" t="s">
        <v>0</v>
      </c>
      <c r="C25" s="15">
        <f>'Gain-Sub-Exp'!D17</f>
        <v>0.6</v>
      </c>
      <c r="D25" t="s">
        <v>11</v>
      </c>
    </row>
    <row r="27" spans="1:5" ht="26" x14ac:dyDescent="0.6">
      <c r="B27" s="28" t="s">
        <v>20</v>
      </c>
      <c r="C27" s="29">
        <f>C25*B20*C22*C23^2*(PI()*C24^2/4)</f>
        <v>0.45491669968982645</v>
      </c>
      <c r="D27" s="30" t="s">
        <v>18</v>
      </c>
    </row>
    <row r="29" spans="1:5" x14ac:dyDescent="0.35">
      <c r="A29" t="s">
        <v>107</v>
      </c>
    </row>
    <row r="30" spans="1:5" ht="16.5" x14ac:dyDescent="0.45">
      <c r="A30" s="75" t="s">
        <v>87</v>
      </c>
      <c r="B30" s="71"/>
      <c r="C30" s="71"/>
      <c r="D30" s="71"/>
      <c r="E30" s="71"/>
    </row>
    <row r="31" spans="1:5" x14ac:dyDescent="0.35">
      <c r="A31" s="75" t="s">
        <v>83</v>
      </c>
      <c r="B31" s="71"/>
      <c r="C31" s="71"/>
      <c r="D31" s="71"/>
      <c r="E31" s="71"/>
    </row>
    <row r="32" spans="1:5" x14ac:dyDescent="0.35">
      <c r="A32" s="75" t="s">
        <v>85</v>
      </c>
      <c r="B32" s="5"/>
      <c r="C32" s="5"/>
      <c r="D32" s="5"/>
      <c r="E32" s="5"/>
    </row>
    <row r="33" spans="2:5" x14ac:dyDescent="0.35">
      <c r="B33" s="71"/>
      <c r="C33" s="71"/>
      <c r="D33" s="71"/>
      <c r="E33" s="71"/>
    </row>
  </sheetData>
  <mergeCells count="4">
    <mergeCell ref="B4:C4"/>
    <mergeCell ref="A1:D1"/>
    <mergeCell ref="B6:C6"/>
    <mergeCell ref="A2:D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9"/>
  <sheetViews>
    <sheetView topLeftCell="A22" zoomScaleNormal="100" workbookViewId="0">
      <selection activeCell="A24" sqref="A24:XFD24"/>
    </sheetView>
  </sheetViews>
  <sheetFormatPr defaultRowHeight="14.5" x14ac:dyDescent="0.35"/>
  <cols>
    <col min="1" max="1" width="9.1796875" style="31"/>
    <col min="2" max="2" width="9.1796875" style="13"/>
    <col min="3" max="3" width="9.453125" style="13" bestFit="1" customWidth="1"/>
    <col min="4" max="4" width="8.81640625" style="13" customWidth="1"/>
    <col min="5" max="5" width="9.1796875" style="13"/>
    <col min="6" max="6" width="1.1796875" style="13" customWidth="1"/>
    <col min="7" max="7" width="8.1796875" style="13" customWidth="1"/>
    <col min="8" max="8" width="7" style="13" customWidth="1"/>
    <col min="9" max="9" width="1.1796875" style="13" customWidth="1"/>
    <col min="10" max="10" width="9.81640625" style="13" customWidth="1"/>
    <col min="11" max="11" width="9.1796875" style="13"/>
    <col min="12" max="12" width="9.1796875" style="31"/>
    <col min="13" max="13" width="1.1796875" style="31" customWidth="1"/>
    <col min="14" max="14" width="11.81640625" style="13" customWidth="1"/>
    <col min="15" max="15" width="12.453125" style="13" bestFit="1" customWidth="1"/>
    <col min="16" max="16" width="1.81640625" customWidth="1"/>
    <col min="17" max="17" width="7.81640625" style="13" customWidth="1"/>
    <col min="18" max="18" width="9.1796875" style="13"/>
    <col min="19" max="19" width="1.81640625" style="13" customWidth="1"/>
    <col min="20" max="20" width="11.81640625" style="13" customWidth="1"/>
    <col min="21" max="21" width="10.54296875" style="13" customWidth="1"/>
    <col min="22" max="22" width="2" customWidth="1"/>
    <col min="23" max="25" width="9.1796875" style="13"/>
    <col min="26" max="26" width="2.1796875" style="13" customWidth="1"/>
    <col min="27" max="27" width="9.1796875" style="13"/>
    <col min="28" max="28" width="2.453125" customWidth="1"/>
    <col min="29" max="29" width="12.1796875" style="13" customWidth="1"/>
    <col min="30" max="30" width="2.453125" customWidth="1"/>
    <col min="31" max="31" width="9.1796875" style="31"/>
    <col min="32" max="32" width="2.1796875" customWidth="1"/>
    <col min="34" max="34" width="1.1796875" customWidth="1"/>
    <col min="35" max="35" width="10.1796875" customWidth="1"/>
    <col min="36" max="36" width="10.81640625" customWidth="1"/>
  </cols>
  <sheetData>
    <row r="1" spans="1:36" ht="43.5" customHeight="1" x14ac:dyDescent="0.35">
      <c r="A1" s="35" t="s">
        <v>16</v>
      </c>
      <c r="R1" s="32" t="s">
        <v>21</v>
      </c>
      <c r="S1" s="32"/>
      <c r="T1" s="32" t="s">
        <v>22</v>
      </c>
      <c r="Y1" s="33"/>
      <c r="AC1" s="13" t="s">
        <v>118</v>
      </c>
      <c r="AF1" s="34"/>
      <c r="AG1" s="32" t="s">
        <v>23</v>
      </c>
    </row>
    <row r="2" spans="1:36" ht="25.5" customHeight="1" x14ac:dyDescent="0.35">
      <c r="A2" s="170" t="s">
        <v>24</v>
      </c>
      <c r="B2" s="170"/>
      <c r="C2" s="170"/>
      <c r="D2" s="170"/>
      <c r="E2" s="170"/>
      <c r="F2" s="170"/>
      <c r="G2" s="170"/>
      <c r="H2" s="170"/>
      <c r="I2" s="31"/>
      <c r="J2" s="105"/>
      <c r="R2" s="69">
        <f>'Gain-Sub-Exp'!D12</f>
        <v>4.7697688040873052E-3</v>
      </c>
      <c r="S2" s="10"/>
      <c r="T2" s="69">
        <f>'Gain-Sub-Exp'!D27</f>
        <v>0.45491669968982645</v>
      </c>
      <c r="Y2" s="33"/>
      <c r="AC2" s="49">
        <f>'Gain-Sub-Exp'!D19</f>
        <v>10</v>
      </c>
      <c r="AG2" s="69">
        <f>'Gain-Sub-Exp'!D32</f>
        <v>1.6054367717693283E-2</v>
      </c>
    </row>
    <row r="3" spans="1:36" ht="6.75" customHeight="1" x14ac:dyDescent="0.35">
      <c r="A3" s="35"/>
      <c r="Y3" s="33"/>
    </row>
    <row r="4" spans="1:36" ht="44.5" x14ac:dyDescent="0.45">
      <c r="A4" s="36" t="s">
        <v>25</v>
      </c>
      <c r="B4" s="37" t="s">
        <v>26</v>
      </c>
      <c r="C4" s="37" t="s">
        <v>27</v>
      </c>
      <c r="D4" s="13" t="s">
        <v>28</v>
      </c>
      <c r="E4" s="37" t="s">
        <v>29</v>
      </c>
      <c r="G4" s="37" t="s">
        <v>115</v>
      </c>
      <c r="H4" s="37" t="s">
        <v>30</v>
      </c>
      <c r="I4" s="37"/>
      <c r="J4" s="37" t="s">
        <v>119</v>
      </c>
      <c r="K4" s="37" t="s">
        <v>31</v>
      </c>
      <c r="L4" s="32" t="s">
        <v>32</v>
      </c>
      <c r="M4" s="38"/>
      <c r="N4" s="37" t="s">
        <v>33</v>
      </c>
      <c r="O4" s="37" t="s">
        <v>34</v>
      </c>
      <c r="Q4" s="13" t="s">
        <v>35</v>
      </c>
      <c r="R4" s="37" t="s">
        <v>36</v>
      </c>
      <c r="S4" s="37"/>
      <c r="T4" s="37" t="s">
        <v>37</v>
      </c>
      <c r="U4" s="37" t="s">
        <v>38</v>
      </c>
      <c r="W4" s="13" t="s">
        <v>39</v>
      </c>
      <c r="X4" s="13" t="s">
        <v>40</v>
      </c>
      <c r="Y4" s="13" t="s">
        <v>41</v>
      </c>
      <c r="Z4" s="37"/>
      <c r="AA4" s="13" t="s">
        <v>42</v>
      </c>
      <c r="AC4" s="13" t="s">
        <v>117</v>
      </c>
      <c r="AE4" s="31" t="s">
        <v>43</v>
      </c>
      <c r="AG4" s="36" t="s">
        <v>44</v>
      </c>
      <c r="AI4" s="31"/>
      <c r="AJ4" s="39"/>
    </row>
    <row r="5" spans="1:36" x14ac:dyDescent="0.35">
      <c r="A5" s="31">
        <v>0</v>
      </c>
      <c r="B5" s="40">
        <v>3.62</v>
      </c>
      <c r="C5" s="41">
        <v>15000</v>
      </c>
      <c r="D5" s="42">
        <v>12.3</v>
      </c>
      <c r="E5" s="42">
        <v>3</v>
      </c>
      <c r="G5" s="13">
        <f>(B5-1)/SQRT(12)</f>
        <v>0.75632885263840988</v>
      </c>
      <c r="H5" s="43">
        <f>7*EXP(0.007*A5)</f>
        <v>7</v>
      </c>
      <c r="I5" s="43"/>
      <c r="J5" s="117"/>
      <c r="K5" s="44">
        <f>IF(J5&gt;0,(J5/16),5*H5)</f>
        <v>35</v>
      </c>
      <c r="L5" s="41">
        <f t="shared" ref="L5:L34" si="0">K5*B5</f>
        <v>126.7</v>
      </c>
      <c r="M5" s="41"/>
      <c r="N5" s="43">
        <f>'Gain-Sub-Exp'!$D$19*E5^2/$T$2</f>
        <v>197.8384175858223</v>
      </c>
      <c r="O5" s="44">
        <f>N5/60</f>
        <v>3.2973069597637048</v>
      </c>
      <c r="Q5" s="44">
        <f>('Gain-Sub-Exp'!O9)</f>
        <v>18.196667987593059</v>
      </c>
      <c r="R5" s="44">
        <f t="shared" ref="R5:R34" si="1">$R$2*N5</f>
        <v>0.94364351245085254</v>
      </c>
      <c r="S5" s="44"/>
      <c r="T5" s="43">
        <f>$T$2*N5</f>
        <v>90</v>
      </c>
      <c r="U5" s="44">
        <f>T5/E5^2</f>
        <v>10</v>
      </c>
      <c r="W5" s="43">
        <f>C5-(L5+R5+T5)</f>
        <v>14782.356356487549</v>
      </c>
      <c r="X5" s="44">
        <f>SQRT(T5+R5+E5^2+G5)</f>
        <v>10.034937586506917</v>
      </c>
      <c r="Y5" s="44">
        <f t="shared" ref="Y5:Y34" si="2">20*LOG(W5/X5)/6</f>
        <v>10.560763306226946</v>
      </c>
      <c r="Z5" s="44"/>
      <c r="AA5" s="44">
        <f t="shared" ref="AA5:AA34" si="3">X5/SQRT(Q5)</f>
        <v>2.3524410007742369</v>
      </c>
      <c r="AC5" s="43">
        <f>((E5^2*$AC$2+$R$2*N5+L5)/B5)*16</f>
        <v>961.96085530365019</v>
      </c>
      <c r="AE5" s="45">
        <f>LOG(SQRT(Q5)*(W5/X5))/LOG(2)</f>
        <v>12.617430097112338</v>
      </c>
      <c r="AG5" s="45">
        <f t="shared" ref="AG5:AG34" si="4">(Q5*$AG$2*N5)/SQRT(Q5*(($AG$2*N5)+T5+R5+E5^2))</f>
        <v>1.3342238827984378</v>
      </c>
      <c r="AI5" s="46"/>
    </row>
    <row r="6" spans="1:36" x14ac:dyDescent="0.35">
      <c r="A6" s="31">
        <f>A5+10</f>
        <v>10</v>
      </c>
      <c r="B6" s="40">
        <f t="shared" ref="B6:B34" si="5">$B$5/(10^(A6/200))</f>
        <v>3.2263283960441584</v>
      </c>
      <c r="C6" s="41">
        <f>14759*EXP(-0.011196*A6)</f>
        <v>13195.727014971932</v>
      </c>
      <c r="D6" s="42">
        <f t="shared" ref="D6:D34" si="6">D5-((12.3-8.7)/(270-0))*(A6-A5)</f>
        <v>12.166666666666668</v>
      </c>
      <c r="E6" s="42">
        <f t="shared" ref="E6:E34" si="7">0.00001543*A6^2-0.008981*A6+3</f>
        <v>2.9117329999999999</v>
      </c>
      <c r="G6" s="13">
        <f t="shared" ref="G6:G16" si="8">(B6-1)/SQRT(12)</f>
        <v>0.64268564938030137</v>
      </c>
      <c r="H6" s="43">
        <f t="shared" ref="H6:H34" si="9">7*EXP(0.007*A6)</f>
        <v>7.5075572687795162</v>
      </c>
      <c r="I6" s="43"/>
      <c r="J6" s="117"/>
      <c r="K6" s="44">
        <f t="shared" ref="K6:K34" si="10">IF(J6&gt;0,(J6/16),5*H6)</f>
        <v>37.537786343897579</v>
      </c>
      <c r="L6" s="41">
        <f t="shared" si="0"/>
        <v>121.10922600595539</v>
      </c>
      <c r="M6" s="41"/>
      <c r="N6" s="43">
        <f>'Gain-Sub-Exp'!$D$19*E6^2/$T$2</f>
        <v>186.36794536383562</v>
      </c>
      <c r="O6" s="44">
        <f t="shared" ref="O6:O34" si="11">N6/60</f>
        <v>3.1061324227305938</v>
      </c>
      <c r="Q6" s="44">
        <f>('Gain-Sub-Exp'!O10)</f>
        <v>19.316626542037167</v>
      </c>
      <c r="R6" s="44">
        <f t="shared" si="1"/>
        <v>0.88893201187827042</v>
      </c>
      <c r="S6" s="44"/>
      <c r="T6" s="43">
        <f t="shared" ref="T6:T34" si="12">$T$2*N6</f>
        <v>84.781890632889997</v>
      </c>
      <c r="U6" s="44">
        <f t="shared" ref="U6:U34" si="13">T6/E6^2</f>
        <v>10</v>
      </c>
      <c r="W6" s="43">
        <f t="shared" ref="W6:W34" si="14">C6-(L6+R6+T6)</f>
        <v>12988.946966321208</v>
      </c>
      <c r="X6" s="44">
        <f t="shared" ref="X6:X34" si="15">SQRT(T6+R6+E6^2+G6)</f>
        <v>9.7361027807556315</v>
      </c>
      <c r="Y6" s="44">
        <f t="shared" si="2"/>
        <v>10.417295978798489</v>
      </c>
      <c r="Z6" s="44"/>
      <c r="AA6" s="44">
        <f t="shared" si="3"/>
        <v>2.2152334887004677</v>
      </c>
      <c r="AC6" s="43">
        <f t="shared" ref="AC6:AC34" si="16">((E6^2*$AC$2+$R$2*N6+L6)/B6)*16</f>
        <v>1025.4631185306951</v>
      </c>
      <c r="AE6" s="45">
        <f t="shared" ref="AE6:AE34" si="17">LOG(SQRT(Q6)*(W6/X6))/LOG(2)</f>
        <v>12.517538084730855</v>
      </c>
      <c r="AG6" s="45">
        <f t="shared" si="4"/>
        <v>1.3342238827984376</v>
      </c>
      <c r="AI6" s="46"/>
      <c r="AJ6" s="46"/>
    </row>
    <row r="7" spans="1:36" x14ac:dyDescent="0.35">
      <c r="A7" s="31">
        <f t="shared" ref="A7:A34" si="18">A6+10</f>
        <v>20</v>
      </c>
      <c r="B7" s="40">
        <f t="shared" si="5"/>
        <v>2.8754682097018991</v>
      </c>
      <c r="C7" s="41">
        <f t="shared" ref="C7:C34" si="19">14759*EXP(-0.011196*A7)</f>
        <v>11798.035873274615</v>
      </c>
      <c r="D7" s="42">
        <f t="shared" si="6"/>
        <v>12.033333333333335</v>
      </c>
      <c r="E7" s="42">
        <f t="shared" si="7"/>
        <v>2.826552</v>
      </c>
      <c r="G7" s="13">
        <f t="shared" si="8"/>
        <v>0.54140103786398852</v>
      </c>
      <c r="H7" s="43">
        <f t="shared" si="9"/>
        <v>8.0519165920005911</v>
      </c>
      <c r="I7" s="43"/>
      <c r="J7" s="117"/>
      <c r="K7" s="44">
        <f t="shared" si="10"/>
        <v>40.259582960002959</v>
      </c>
      <c r="L7" s="41">
        <f t="shared" si="0"/>
        <v>115.76515093734479</v>
      </c>
      <c r="M7" s="41"/>
      <c r="N7" s="43">
        <f>'Gain-Sub-Exp'!$D$19*E7^2/$T$2</f>
        <v>175.6232781551297</v>
      </c>
      <c r="O7" s="44">
        <f t="shared" si="11"/>
        <v>2.9270546359188283</v>
      </c>
      <c r="Q7" s="44">
        <f>('Gain-Sub-Exp'!O11)</f>
        <v>20.498421609122261</v>
      </c>
      <c r="R7" s="44">
        <f t="shared" si="1"/>
        <v>0.83768243341588511</v>
      </c>
      <c r="S7" s="44"/>
      <c r="T7" s="43">
        <f t="shared" si="12"/>
        <v>79.893962087039995</v>
      </c>
      <c r="U7" s="44">
        <f t="shared" si="13"/>
        <v>10</v>
      </c>
      <c r="W7" s="43">
        <f t="shared" si="14"/>
        <v>11601.539077816815</v>
      </c>
      <c r="X7" s="44">
        <f t="shared" si="15"/>
        <v>9.4478802790374026</v>
      </c>
      <c r="Y7" s="44">
        <f t="shared" si="2"/>
        <v>10.297270752787275</v>
      </c>
      <c r="Z7" s="44"/>
      <c r="AA7" s="44">
        <f t="shared" si="3"/>
        <v>2.0867680113339611</v>
      </c>
      <c r="AC7" s="43">
        <f t="shared" si="16"/>
        <v>1093.3693221566671</v>
      </c>
      <c r="AE7" s="45">
        <f t="shared" si="17"/>
        <v>12.440758364555276</v>
      </c>
      <c r="AG7" s="45">
        <f t="shared" si="4"/>
        <v>1.3342238827984376</v>
      </c>
      <c r="AI7" s="46"/>
      <c r="AJ7" s="46"/>
    </row>
    <row r="8" spans="1:36" x14ac:dyDescent="0.35">
      <c r="A8" s="31">
        <f t="shared" si="18"/>
        <v>30</v>
      </c>
      <c r="B8" s="40">
        <f t="shared" si="5"/>
        <v>2.5627637394705793</v>
      </c>
      <c r="C8" s="41">
        <f t="shared" si="19"/>
        <v>10548.388149371758</v>
      </c>
      <c r="D8" s="42">
        <f t="shared" si="6"/>
        <v>11.900000000000002</v>
      </c>
      <c r="E8" s="42">
        <f t="shared" si="7"/>
        <v>2.7444570000000001</v>
      </c>
      <c r="G8" s="13">
        <f t="shared" si="8"/>
        <v>0.45113103283156258</v>
      </c>
      <c r="H8" s="43">
        <f t="shared" si="9"/>
        <v>8.6357464196972025</v>
      </c>
      <c r="I8" s="43"/>
      <c r="J8" s="117"/>
      <c r="K8" s="44">
        <f t="shared" si="10"/>
        <v>43.178732098486009</v>
      </c>
      <c r="L8" s="41">
        <f t="shared" si="0"/>
        <v>110.65688893831434</v>
      </c>
      <c r="M8" s="41"/>
      <c r="N8" s="43">
        <f>'Gain-Sub-Exp'!$D$19*E8^2/$T$2</f>
        <v>165.56974562561754</v>
      </c>
      <c r="O8" s="44">
        <f t="shared" si="11"/>
        <v>2.759495760426959</v>
      </c>
      <c r="Q8" s="44">
        <f>('Gain-Sub-Exp'!O12)</f>
        <v>21.743102801765705</v>
      </c>
      <c r="R8" s="44">
        <f t="shared" si="1"/>
        <v>0.78972940758574106</v>
      </c>
      <c r="S8" s="44"/>
      <c r="T8" s="43">
        <f t="shared" si="12"/>
        <v>75.320442248490011</v>
      </c>
      <c r="U8" s="44">
        <f t="shared" si="13"/>
        <v>10</v>
      </c>
      <c r="W8" s="43">
        <f t="shared" si="14"/>
        <v>10361.621088777369</v>
      </c>
      <c r="X8" s="44">
        <f t="shared" si="15"/>
        <v>9.1702424675553882</v>
      </c>
      <c r="Y8" s="44">
        <f t="shared" si="2"/>
        <v>10.17682295926557</v>
      </c>
      <c r="Z8" s="44"/>
      <c r="AA8" s="44">
        <f t="shared" si="3"/>
        <v>1.9666182237902035</v>
      </c>
      <c r="AC8" s="43">
        <f t="shared" si="16"/>
        <v>1166.0352936504264</v>
      </c>
      <c r="AE8" s="45">
        <f t="shared" si="17"/>
        <v>12.36324519481026</v>
      </c>
      <c r="AG8" s="45">
        <f t="shared" si="4"/>
        <v>1.3342238827984376</v>
      </c>
      <c r="AI8" s="46"/>
      <c r="AJ8" s="46"/>
    </row>
    <row r="9" spans="1:36" x14ac:dyDescent="0.35">
      <c r="A9" s="31">
        <f t="shared" si="18"/>
        <v>40</v>
      </c>
      <c r="B9" s="40">
        <f t="shared" si="5"/>
        <v>2.2840655870182993</v>
      </c>
      <c r="C9" s="41">
        <f t="shared" si="19"/>
        <v>9431.1030874093558</v>
      </c>
      <c r="D9" s="42">
        <f t="shared" si="6"/>
        <v>11.766666666666669</v>
      </c>
      <c r="E9" s="42">
        <f t="shared" si="7"/>
        <v>2.665448</v>
      </c>
      <c r="G9" s="13">
        <f t="shared" si="8"/>
        <v>0.37067780616107499</v>
      </c>
      <c r="H9" s="43">
        <f t="shared" si="9"/>
        <v>9.2619086863620588</v>
      </c>
      <c r="I9" s="43"/>
      <c r="J9" s="117"/>
      <c r="K9" s="44">
        <f t="shared" si="10"/>
        <v>46.309543431810297</v>
      </c>
      <c r="L9" s="41">
        <f t="shared" si="0"/>
        <v>105.77403450312721</v>
      </c>
      <c r="M9" s="41"/>
      <c r="N9" s="43">
        <f>'Gain-Sub-Exp'!$D$19*E9^2/$T$2</f>
        <v>156.17393350360851</v>
      </c>
      <c r="O9" s="44">
        <f t="shared" si="11"/>
        <v>2.6028988917268086</v>
      </c>
      <c r="Q9" s="44">
        <f>('Gain-Sub-Exp'!O13)</f>
        <v>23.051221924411728</v>
      </c>
      <c r="R9" s="44">
        <f t="shared" si="1"/>
        <v>0.74491355603711706</v>
      </c>
      <c r="S9" s="44"/>
      <c r="T9" s="43">
        <f t="shared" si="12"/>
        <v>71.046130407039996</v>
      </c>
      <c r="U9" s="44">
        <f t="shared" si="13"/>
        <v>10</v>
      </c>
      <c r="W9" s="43">
        <f t="shared" si="14"/>
        <v>9253.538008943151</v>
      </c>
      <c r="X9" s="44">
        <f t="shared" si="15"/>
        <v>8.9031643144413657</v>
      </c>
      <c r="Y9" s="44">
        <f t="shared" si="2"/>
        <v>10.055878081652018</v>
      </c>
      <c r="Z9" s="44"/>
      <c r="AA9" s="44">
        <f t="shared" si="3"/>
        <v>1.854374355535422</v>
      </c>
      <c r="AC9" s="43">
        <f t="shared" si="16"/>
        <v>1243.8527473145227</v>
      </c>
      <c r="AE9" s="45">
        <f t="shared" si="17"/>
        <v>12.28485683722427</v>
      </c>
      <c r="AG9" s="45">
        <f t="shared" si="4"/>
        <v>1.3342238827984376</v>
      </c>
      <c r="AI9" s="46"/>
      <c r="AJ9" s="46"/>
    </row>
    <row r="10" spans="1:36" x14ac:dyDescent="0.35">
      <c r="A10" s="31">
        <f t="shared" si="18"/>
        <v>50</v>
      </c>
      <c r="B10" s="40">
        <f t="shared" si="5"/>
        <v>2.0356755971890634</v>
      </c>
      <c r="C10" s="41">
        <f t="shared" si="19"/>
        <v>8432.1608368800607</v>
      </c>
      <c r="D10" s="42">
        <f t="shared" si="6"/>
        <v>11.633333333333336</v>
      </c>
      <c r="E10" s="42">
        <f t="shared" si="7"/>
        <v>2.5895250000000001</v>
      </c>
      <c r="G10" s="13">
        <f t="shared" si="8"/>
        <v>0.29897379241511612</v>
      </c>
      <c r="H10" s="43">
        <f t="shared" si="9"/>
        <v>9.9334728401528007</v>
      </c>
      <c r="I10" s="106"/>
      <c r="J10" s="118"/>
      <c r="K10" s="44">
        <f t="shared" si="10"/>
        <v>49.667364200764005</v>
      </c>
      <c r="L10" s="41">
        <f t="shared" si="0"/>
        <v>101.10664128019698</v>
      </c>
      <c r="M10" s="41"/>
      <c r="N10" s="43">
        <f>'Gain-Sub-Exp'!$D$19*E10^2/$T$2</f>
        <v>147.40368357980864</v>
      </c>
      <c r="O10" s="44">
        <f t="shared" si="11"/>
        <v>2.4567280596634773</v>
      </c>
      <c r="Q10" s="44">
        <f>('Gain-Sub-Exp'!O14)</f>
        <v>24.422727523297308</v>
      </c>
      <c r="R10" s="44">
        <f t="shared" si="1"/>
        <v>0.70308149154652744</v>
      </c>
      <c r="S10" s="44"/>
      <c r="T10" s="43">
        <f t="shared" si="12"/>
        <v>67.056397256250008</v>
      </c>
      <c r="U10" s="44">
        <f t="shared" si="13"/>
        <v>10</v>
      </c>
      <c r="W10" s="43">
        <f t="shared" si="14"/>
        <v>8263.2947168520677</v>
      </c>
      <c r="X10" s="44">
        <f t="shared" si="15"/>
        <v>8.6466231712638351</v>
      </c>
      <c r="Y10" s="44">
        <f t="shared" si="2"/>
        <v>9.9343557003219072</v>
      </c>
      <c r="Z10" s="44"/>
      <c r="AA10" s="44">
        <f t="shared" si="3"/>
        <v>1.7496430270427077</v>
      </c>
      <c r="AC10" s="43">
        <f t="shared" si="16"/>
        <v>1327.2536764594136</v>
      </c>
      <c r="AE10" s="45">
        <f t="shared" si="17"/>
        <v>12.205440803643171</v>
      </c>
      <c r="AG10" s="45">
        <f t="shared" si="4"/>
        <v>1.3342238827984376</v>
      </c>
      <c r="AI10" s="46"/>
      <c r="AJ10" s="46"/>
    </row>
    <row r="11" spans="1:36" x14ac:dyDescent="0.35">
      <c r="A11" s="31">
        <f>A10+10</f>
        <v>60</v>
      </c>
      <c r="B11" s="40">
        <f t="shared" si="5"/>
        <v>1.8142977857307256</v>
      </c>
      <c r="C11" s="41">
        <f t="shared" si="19"/>
        <v>7539.0265295620666</v>
      </c>
      <c r="D11" s="42">
        <f t="shared" si="6"/>
        <v>11.500000000000004</v>
      </c>
      <c r="E11" s="42">
        <f t="shared" si="7"/>
        <v>2.5166879999999998</v>
      </c>
      <c r="G11" s="13">
        <f t="shared" si="8"/>
        <v>0.23506752289607533</v>
      </c>
      <c r="H11" s="43">
        <f t="shared" si="9"/>
        <v>10.653730889330436</v>
      </c>
      <c r="I11" s="43"/>
      <c r="J11" s="117"/>
      <c r="K11" s="44">
        <f t="shared" si="10"/>
        <v>53.268654446652178</v>
      </c>
      <c r="L11" s="41">
        <f t="shared" si="0"/>
        <v>96.645201811416214</v>
      </c>
      <c r="M11" s="41"/>
      <c r="N11" s="43">
        <f>'Gain-Sub-Exp'!$D$19*E11^2/$T$2</f>
        <v>139.2280937073202</v>
      </c>
      <c r="O11" s="44">
        <f t="shared" si="11"/>
        <v>2.3204682284553368</v>
      </c>
      <c r="Q11" s="44">
        <f>('Gain-Sub-Exp'!O15)</f>
        <v>25.85685046846779</v>
      </c>
      <c r="R11" s="44">
        <f t="shared" si="1"/>
        <v>0.66408581801771993</v>
      </c>
      <c r="S11" s="44"/>
      <c r="T11" s="43">
        <f t="shared" si="12"/>
        <v>63.337184893439996</v>
      </c>
      <c r="U11" s="44">
        <f t="shared" si="13"/>
        <v>10</v>
      </c>
      <c r="W11" s="43">
        <f t="shared" si="14"/>
        <v>7378.3800570391923</v>
      </c>
      <c r="X11" s="44">
        <f t="shared" si="15"/>
        <v>8.4005985931776195</v>
      </c>
      <c r="Y11" s="44">
        <f t="shared" si="2"/>
        <v>9.8121692950730957</v>
      </c>
      <c r="Z11" s="44"/>
      <c r="AA11" s="44">
        <f t="shared" si="3"/>
        <v>1.6520470862318646</v>
      </c>
      <c r="AC11" s="43">
        <f t="shared" si="16"/>
        <v>1416.7153708622052</v>
      </c>
      <c r="AE11" s="45">
        <f t="shared" si="17"/>
        <v>12.124833581505953</v>
      </c>
      <c r="AG11" s="45">
        <f t="shared" si="4"/>
        <v>1.3342238827984376</v>
      </c>
      <c r="AI11" s="46"/>
      <c r="AJ11" s="46"/>
    </row>
    <row r="12" spans="1:36" x14ac:dyDescent="0.35">
      <c r="A12" s="31">
        <f t="shared" si="18"/>
        <v>70</v>
      </c>
      <c r="B12" s="40">
        <f t="shared" si="5"/>
        <v>1.6169946035864866</v>
      </c>
      <c r="C12" s="41">
        <f t="shared" si="19"/>
        <v>6740.4929902250997</v>
      </c>
      <c r="D12" s="42">
        <f t="shared" si="6"/>
        <v>11.366666666666671</v>
      </c>
      <c r="E12" s="42">
        <f t="shared" si="7"/>
        <v>2.4469370000000001</v>
      </c>
      <c r="G12" s="13">
        <f t="shared" si="8"/>
        <v>0.17811100023460225</v>
      </c>
      <c r="H12" s="43">
        <f t="shared" si="9"/>
        <v>11.426213539687652</v>
      </c>
      <c r="I12" s="43"/>
      <c r="J12" s="117"/>
      <c r="K12" s="44">
        <f t="shared" si="10"/>
        <v>57.131067698438258</v>
      </c>
      <c r="L12" s="41">
        <f t="shared" si="0"/>
        <v>92.380628165508895</v>
      </c>
      <c r="M12" s="41"/>
      <c r="N12" s="43">
        <f>'Gain-Sub-Exp'!$D$19*E12^2/$T$2</f>
        <v>131.61751780164212</v>
      </c>
      <c r="O12" s="44">
        <f t="shared" si="11"/>
        <v>2.1936252966940355</v>
      </c>
      <c r="Q12" s="44">
        <f>('Gain-Sub-Exp'!O16)</f>
        <v>27.351982168707064</v>
      </c>
      <c r="R12" s="44">
        <f t="shared" si="1"/>
        <v>0.62778513048167817</v>
      </c>
      <c r="S12" s="44"/>
      <c r="T12" s="43">
        <f t="shared" si="12"/>
        <v>59.875006819690014</v>
      </c>
      <c r="U12" s="44">
        <f t="shared" si="13"/>
        <v>10</v>
      </c>
      <c r="W12" s="43">
        <f t="shared" si="14"/>
        <v>6587.6095701094191</v>
      </c>
      <c r="X12" s="44">
        <f t="shared" si="15"/>
        <v>8.165072175576606</v>
      </c>
      <c r="Y12" s="44">
        <f t="shared" si="2"/>
        <v>9.6892260791238343</v>
      </c>
      <c r="Z12" s="44"/>
      <c r="AA12" s="44">
        <f t="shared" si="3"/>
        <v>1.5612254625677171</v>
      </c>
      <c r="AC12" s="43">
        <f t="shared" si="16"/>
        <v>1512.7661628711523</v>
      </c>
      <c r="AE12" s="45">
        <f t="shared" si="17"/>
        <v>12.042860440112266</v>
      </c>
      <c r="AG12" s="45">
        <f t="shared" si="4"/>
        <v>1.3342238827984376</v>
      </c>
      <c r="AI12" s="46"/>
      <c r="AJ12" s="46"/>
    </row>
    <row r="13" spans="1:36" x14ac:dyDescent="0.35">
      <c r="A13" s="31">
        <f t="shared" si="18"/>
        <v>80</v>
      </c>
      <c r="B13" s="40">
        <f t="shared" si="5"/>
        <v>1.4411479574036599</v>
      </c>
      <c r="C13" s="41">
        <f t="shared" si="19"/>
        <v>6026.5401074152905</v>
      </c>
      <c r="D13" s="42">
        <f t="shared" si="6"/>
        <v>11.233333333333338</v>
      </c>
      <c r="E13" s="42">
        <f t="shared" si="7"/>
        <v>2.3802719999999997</v>
      </c>
      <c r="G13" s="13">
        <f t="shared" si="8"/>
        <v>0.1273484459797283</v>
      </c>
      <c r="H13" s="43">
        <f t="shared" si="9"/>
        <v>12.254707502072709</v>
      </c>
      <c r="I13" s="43"/>
      <c r="J13" s="117"/>
      <c r="K13" s="44">
        <f t="shared" si="10"/>
        <v>61.273537510363539</v>
      </c>
      <c r="L13" s="41">
        <f t="shared" si="0"/>
        <v>88.304233425956951</v>
      </c>
      <c r="M13" s="41"/>
      <c r="N13" s="43">
        <f>'Gain-Sub-Exp'!$D$19*E13^2/$T$2</f>
        <v>124.54356584066953</v>
      </c>
      <c r="O13" s="44">
        <f t="shared" si="11"/>
        <v>2.075726097344492</v>
      </c>
      <c r="Q13" s="44">
        <f>('Gain-Sub-Exp'!O17)</f>
        <v>28.905547835409937</v>
      </c>
      <c r="R13" s="44">
        <f t="shared" si="1"/>
        <v>0.59404401509661886</v>
      </c>
      <c r="S13" s="44"/>
      <c r="T13" s="43">
        <f t="shared" si="12"/>
        <v>56.656947939839988</v>
      </c>
      <c r="U13" s="44">
        <f t="shared" si="13"/>
        <v>10</v>
      </c>
      <c r="W13" s="43">
        <f t="shared" si="14"/>
        <v>5880.9848820343968</v>
      </c>
      <c r="X13" s="44">
        <f t="shared" si="15"/>
        <v>7.9400274051731294</v>
      </c>
      <c r="Y13" s="44">
        <f t="shared" si="2"/>
        <v>9.5654268719239468</v>
      </c>
      <c r="Z13" s="44"/>
      <c r="AA13" s="44">
        <f t="shared" si="3"/>
        <v>1.4768330369180718</v>
      </c>
      <c r="AC13" s="43">
        <f t="shared" si="16"/>
        <v>1615.992025058941</v>
      </c>
      <c r="AE13" s="45">
        <f t="shared" si="17"/>
        <v>11.959335334795153</v>
      </c>
      <c r="AG13" s="45">
        <f t="shared" si="4"/>
        <v>1.3342238827984376</v>
      </c>
      <c r="AI13" s="46"/>
      <c r="AJ13" s="46"/>
    </row>
    <row r="14" spans="1:36" x14ac:dyDescent="0.35">
      <c r="A14" s="31">
        <f t="shared" si="18"/>
        <v>90</v>
      </c>
      <c r="B14" s="40">
        <f t="shared" si="5"/>
        <v>1.2844244690255431</v>
      </c>
      <c r="C14" s="41">
        <f t="shared" si="19"/>
        <v>5388.2090996837051</v>
      </c>
      <c r="D14" s="42">
        <f t="shared" si="6"/>
        <v>11.100000000000005</v>
      </c>
      <c r="E14" s="42">
        <f t="shared" si="7"/>
        <v>2.3166929999999999</v>
      </c>
      <c r="G14" s="13">
        <f t="shared" si="8"/>
        <v>8.2106271878006842E-2</v>
      </c>
      <c r="H14" s="43">
        <f t="shared" si="9"/>
        <v>13.143274054850401</v>
      </c>
      <c r="I14" s="43"/>
      <c r="J14" s="117"/>
      <c r="K14" s="44">
        <f t="shared" si="10"/>
        <v>65.716370274252</v>
      </c>
      <c r="L14" s="41">
        <f t="shared" si="0"/>
        <v>84.407713995792108</v>
      </c>
      <c r="M14" s="41"/>
      <c r="N14" s="43">
        <f>'Gain-Sub-Exp'!$D$19*E14^2/$T$2</f>
        <v>117.97910386469434</v>
      </c>
      <c r="O14" s="44">
        <f t="shared" si="11"/>
        <v>1.9663183977449057</v>
      </c>
      <c r="Q14" s="44">
        <f>('Gain-Sub-Exp'!O18)</f>
        <v>30.513878153615241</v>
      </c>
      <c r="R14" s="44">
        <f t="shared" si="1"/>
        <v>0.56273304914799505</v>
      </c>
      <c r="S14" s="44"/>
      <c r="T14" s="43">
        <f t="shared" si="12"/>
        <v>53.670664562489996</v>
      </c>
      <c r="U14" s="44">
        <f t="shared" si="13"/>
        <v>10</v>
      </c>
      <c r="W14" s="43">
        <f t="shared" si="14"/>
        <v>5249.5679880762746</v>
      </c>
      <c r="X14" s="44">
        <f t="shared" si="15"/>
        <v>7.7254495234753167</v>
      </c>
      <c r="Y14" s="44">
        <f t="shared" si="2"/>
        <v>9.4406660181270219</v>
      </c>
      <c r="Z14" s="44"/>
      <c r="AA14" s="44">
        <f t="shared" si="3"/>
        <v>1.3985405254751846</v>
      </c>
      <c r="AC14" s="43">
        <f t="shared" si="16"/>
        <v>1727.0441658603809</v>
      </c>
      <c r="AE14" s="45">
        <f t="shared" si="17"/>
        <v>11.874060926728223</v>
      </c>
      <c r="AG14" s="45">
        <f t="shared" si="4"/>
        <v>1.3342238827984376</v>
      </c>
      <c r="AI14" s="46"/>
      <c r="AJ14" s="46"/>
    </row>
    <row r="15" spans="1:36" x14ac:dyDescent="0.35">
      <c r="A15" s="31">
        <f t="shared" si="18"/>
        <v>100</v>
      </c>
      <c r="B15" s="40">
        <f t="shared" si="5"/>
        <v>1.1447445129809533</v>
      </c>
      <c r="C15" s="41">
        <f t="shared" si="19"/>
        <v>4817.4900995334265</v>
      </c>
      <c r="D15" s="42">
        <f t="shared" si="6"/>
        <v>10.966666666666672</v>
      </c>
      <c r="E15" s="42">
        <f t="shared" si="7"/>
        <v>2.2562000000000002</v>
      </c>
      <c r="G15" s="13">
        <f t="shared" si="8"/>
        <v>4.1784141766637327E-2</v>
      </c>
      <c r="H15" s="43">
        <f t="shared" si="9"/>
        <v>14.096268952293336</v>
      </c>
      <c r="I15" s="43"/>
      <c r="J15" s="118"/>
      <c r="K15" s="44">
        <f t="shared" si="10"/>
        <v>70.481344761466687</v>
      </c>
      <c r="L15" s="41">
        <f t="shared" si="0"/>
        <v>80.683132683207845</v>
      </c>
      <c r="M15" s="41"/>
      <c r="N15" s="43">
        <f>'Gain-Sub-Exp'!$D$19*E15^2/$T$2</f>
        <v>111.89825397640466</v>
      </c>
      <c r="O15" s="44">
        <f t="shared" si="11"/>
        <v>1.8649708996067444</v>
      </c>
      <c r="Q15" s="44">
        <f>('Gain-Sub-Exp'!O19)</f>
        <v>32.172083764230237</v>
      </c>
      <c r="R15" s="44">
        <f t="shared" si="1"/>
        <v>0.53372880104849318</v>
      </c>
      <c r="S15" s="44"/>
      <c r="T15" s="43">
        <f t="shared" si="12"/>
        <v>50.904384400000005</v>
      </c>
      <c r="U15" s="44">
        <f t="shared" si="13"/>
        <v>10</v>
      </c>
      <c r="W15" s="43">
        <f t="shared" si="14"/>
        <v>4685.36885364917</v>
      </c>
      <c r="X15" s="44">
        <f t="shared" si="15"/>
        <v>7.5213254006734163</v>
      </c>
      <c r="Y15" s="44">
        <f t="shared" si="2"/>
        <v>9.314831359759312</v>
      </c>
      <c r="Z15" s="44"/>
      <c r="AA15" s="44">
        <f t="shared" si="3"/>
        <v>1.3260343762256714</v>
      </c>
      <c r="AC15" s="43">
        <f t="shared" si="16"/>
        <v>1846.6477979818662</v>
      </c>
      <c r="AE15" s="45">
        <f t="shared" si="17"/>
        <v>11.786828736082622</v>
      </c>
      <c r="AG15" s="45">
        <f t="shared" si="4"/>
        <v>1.3342238827984378</v>
      </c>
      <c r="AI15" s="46"/>
      <c r="AJ15" s="46"/>
    </row>
    <row r="16" spans="1:36" x14ac:dyDescent="0.35">
      <c r="A16" s="31">
        <f t="shared" si="18"/>
        <v>110</v>
      </c>
      <c r="B16" s="40">
        <f t="shared" si="5"/>
        <v>1.0202546211177321</v>
      </c>
      <c r="C16" s="41">
        <f t="shared" si="19"/>
        <v>4307.2216444727319</v>
      </c>
      <c r="D16" s="42">
        <f t="shared" si="6"/>
        <v>10.833333333333339</v>
      </c>
      <c r="E16" s="42">
        <f t="shared" si="7"/>
        <v>2.1987930000000002</v>
      </c>
      <c r="G16" s="13">
        <f t="shared" si="8"/>
        <v>5.8470054773282626E-3</v>
      </c>
      <c r="H16" s="43">
        <f t="shared" si="9"/>
        <v>15.118363776494405</v>
      </c>
      <c r="I16" s="43"/>
      <c r="J16" s="117"/>
      <c r="K16" s="44">
        <f t="shared" si="10"/>
        <v>75.591818882472026</v>
      </c>
      <c r="L16" s="41">
        <f t="shared" si="0"/>
        <v>77.122902533536731</v>
      </c>
      <c r="M16" s="41"/>
      <c r="N16" s="43">
        <f>'Gain-Sub-Exp'!$D$19*E16^2/$T$2</f>
        <v>106.27639434088513</v>
      </c>
      <c r="O16" s="44">
        <f t="shared" si="11"/>
        <v>1.7712732390147523</v>
      </c>
      <c r="Q16" s="44">
        <f>('Gain-Sub-Exp'!O20)</f>
        <v>33.873938068061264</v>
      </c>
      <c r="R16" s="44">
        <f t="shared" si="1"/>
        <v>0.5069138303380345</v>
      </c>
      <c r="S16" s="44"/>
      <c r="T16" s="43">
        <f t="shared" si="12"/>
        <v>48.346906568490013</v>
      </c>
      <c r="U16" s="44">
        <f t="shared" si="13"/>
        <v>10</v>
      </c>
      <c r="W16" s="43">
        <f t="shared" si="14"/>
        <v>4181.2449215403667</v>
      </c>
      <c r="X16" s="44">
        <f t="shared" si="15"/>
        <v>7.3276434179860566</v>
      </c>
      <c r="Y16" s="44">
        <f t="shared" si="2"/>
        <v>9.1878042678042764</v>
      </c>
      <c r="Z16" s="44"/>
      <c r="AA16" s="44">
        <f t="shared" si="3"/>
        <v>1.2590166766157811</v>
      </c>
      <c r="AC16" s="43">
        <f t="shared" si="16"/>
        <v>1975.6122885379643</v>
      </c>
      <c r="AE16" s="45">
        <f t="shared" si="17"/>
        <v>11.697419445391281</v>
      </c>
      <c r="AG16" s="45">
        <f t="shared" si="4"/>
        <v>1.3342238827984376</v>
      </c>
      <c r="AI16" s="46"/>
      <c r="AJ16" s="46"/>
    </row>
    <row r="17" spans="1:36" s="112" customFormat="1" x14ac:dyDescent="0.35">
      <c r="A17" s="107">
        <v>111</v>
      </c>
      <c r="B17" s="108">
        <f t="shared" si="5"/>
        <v>1.0085758630439767</v>
      </c>
      <c r="C17" s="109">
        <f t="shared" si="19"/>
        <v>4259.2669422914687</v>
      </c>
      <c r="D17" s="110">
        <f t="shared" si="6"/>
        <v>10.820000000000006</v>
      </c>
      <c r="E17" s="110">
        <f t="shared" si="7"/>
        <v>2.1932220300000003</v>
      </c>
      <c r="F17" s="111"/>
      <c r="G17" s="111">
        <f t="shared" ref="G17" si="20">(B17-1)/SQRT(12)</f>
        <v>2.4756384184866638E-3</v>
      </c>
      <c r="H17" s="109">
        <f t="shared" si="9"/>
        <v>15.22456358862344</v>
      </c>
      <c r="I17" s="109"/>
      <c r="J17" s="119"/>
      <c r="K17" s="110">
        <f t="shared" si="10"/>
        <v>76.122817943117198</v>
      </c>
      <c r="L17" s="109">
        <f t="shared" si="0"/>
        <v>76.77563680431895</v>
      </c>
      <c r="M17" s="109"/>
      <c r="N17" s="109">
        <f>'Gain-Sub-Exp'!$D$19*E17^2/$T$2</f>
        <v>105.73854237835305</v>
      </c>
      <c r="O17" s="110">
        <f t="shared" ref="O17" si="21">N17/60</f>
        <v>1.7623090396392174</v>
      </c>
      <c r="Q17" s="110">
        <f>('Gain-Sub-Exp'!O21)</f>
        <v>34.046241975972215</v>
      </c>
      <c r="R17" s="110">
        <f t="shared" si="1"/>
        <v>0.5043484008259318</v>
      </c>
      <c r="S17" s="110"/>
      <c r="T17" s="109">
        <f t="shared" si="12"/>
        <v>48.10222872877322</v>
      </c>
      <c r="U17" s="110">
        <f t="shared" si="13"/>
        <v>10</v>
      </c>
      <c r="W17" s="109">
        <f t="shared" si="14"/>
        <v>4133.8847283575506</v>
      </c>
      <c r="X17" s="110">
        <f t="shared" si="15"/>
        <v>7.3088491324486213</v>
      </c>
      <c r="Y17" s="110">
        <f t="shared" si="2"/>
        <v>9.1750312165633847</v>
      </c>
      <c r="Z17" s="110"/>
      <c r="AA17" s="110">
        <f t="shared" si="3"/>
        <v>1.2526057663455559</v>
      </c>
      <c r="AC17" s="109">
        <f t="shared" si="16"/>
        <v>1989.0575379109757</v>
      </c>
      <c r="AE17" s="113">
        <f t="shared" si="17"/>
        <v>11.688350019551647</v>
      </c>
      <c r="AG17" s="113">
        <f t="shared" si="4"/>
        <v>1.3342238827984376</v>
      </c>
      <c r="AI17" s="114"/>
      <c r="AJ17" s="114"/>
    </row>
    <row r="18" spans="1:36" x14ac:dyDescent="0.35">
      <c r="A18" s="31">
        <f>A16+10</f>
        <v>120</v>
      </c>
      <c r="B18" s="40">
        <f t="shared" si="5"/>
        <v>0.90930288820646799</v>
      </c>
      <c r="C18" s="41">
        <f t="shared" si="19"/>
        <v>3851.0008139738916</v>
      </c>
      <c r="D18" s="42">
        <f t="shared" si="6"/>
        <v>10.700000000000006</v>
      </c>
      <c r="E18" s="42">
        <f t="shared" si="7"/>
        <v>2.1444719999999999</v>
      </c>
      <c r="G18" s="13">
        <v>0</v>
      </c>
      <c r="H18" s="43">
        <f t="shared" si="9"/>
        <v>16.214568837467642</v>
      </c>
      <c r="I18" s="43"/>
      <c r="J18" s="118"/>
      <c r="K18" s="44">
        <f t="shared" si="10"/>
        <v>81.072844187338205</v>
      </c>
      <c r="L18" s="41">
        <f t="shared" si="0"/>
        <v>73.719771374659587</v>
      </c>
      <c r="M18" s="41"/>
      <c r="N18" s="43">
        <f>'Gain-Sub-Exp'!$D$19*E18^2/$T$2</f>
        <v>101.09015918561681</v>
      </c>
      <c r="O18" s="44">
        <f t="shared" si="11"/>
        <v>1.6848359864269469</v>
      </c>
      <c r="Q18" s="44">
        <f>('Gain-Sub-Exp'!O22)</f>
        <v>35.611774964068026</v>
      </c>
      <c r="R18" s="44">
        <f t="shared" si="1"/>
        <v>0.48217668768377481</v>
      </c>
      <c r="S18" s="44"/>
      <c r="T18" s="43">
        <f t="shared" si="12"/>
        <v>45.987601587839997</v>
      </c>
      <c r="U18" s="44">
        <f t="shared" si="13"/>
        <v>10</v>
      </c>
      <c r="W18" s="43">
        <f t="shared" si="14"/>
        <v>3730.8112643237082</v>
      </c>
      <c r="X18" s="44">
        <f t="shared" si="15"/>
        <v>7.1462254676372874</v>
      </c>
      <c r="Y18" s="44">
        <f t="shared" si="2"/>
        <v>9.0590885500486369</v>
      </c>
      <c r="Z18" s="44"/>
      <c r="AA18" s="44">
        <f t="shared" si="3"/>
        <v>1.197512082947735</v>
      </c>
      <c r="AC18" s="43">
        <f t="shared" si="16"/>
        <v>2114.8429410534177</v>
      </c>
      <c r="AE18" s="45">
        <f t="shared" si="17"/>
        <v>11.605233450177119</v>
      </c>
      <c r="AG18" s="45">
        <f t="shared" si="4"/>
        <v>1.3342238827984378</v>
      </c>
      <c r="AI18" s="46"/>
      <c r="AJ18" s="46"/>
    </row>
    <row r="19" spans="1:36" x14ac:dyDescent="0.35">
      <c r="A19" s="31">
        <f t="shared" si="18"/>
        <v>130</v>
      </c>
      <c r="B19" s="40">
        <f t="shared" si="5"/>
        <v>0.81041705216173887</v>
      </c>
      <c r="C19" s="41">
        <f t="shared" si="19"/>
        <v>3443.1028847235025</v>
      </c>
      <c r="D19" s="42">
        <f t="shared" si="6"/>
        <v>10.566666666666674</v>
      </c>
      <c r="E19" s="42">
        <f t="shared" si="7"/>
        <v>2.0932370000000002</v>
      </c>
      <c r="G19" s="13">
        <v>0</v>
      </c>
      <c r="H19" s="43">
        <f t="shared" si="9"/>
        <v>17.390257733693716</v>
      </c>
      <c r="I19" s="43"/>
      <c r="J19" s="117"/>
      <c r="K19" s="44">
        <f t="shared" si="10"/>
        <v>86.951288668468578</v>
      </c>
      <c r="L19" s="41">
        <f t="shared" si="0"/>
        <v>70.466807044364714</v>
      </c>
      <c r="M19" s="41"/>
      <c r="N19" s="43">
        <f>'Gain-Sub-Exp'!$D$19*E19^2/$T$2</f>
        <v>96.31743880047739</v>
      </c>
      <c r="O19" s="44">
        <f t="shared" si="11"/>
        <v>1.6052906466746231</v>
      </c>
      <c r="Q19" s="44">
        <f>('Gain-Sub-Exp'!O23)</f>
        <v>37.37640914079369</v>
      </c>
      <c r="R19" s="44">
        <f t="shared" si="1"/>
        <v>0.45941191488010524</v>
      </c>
      <c r="S19" s="44"/>
      <c r="T19" s="43">
        <f t="shared" si="12"/>
        <v>43.81641138169001</v>
      </c>
      <c r="U19" s="44">
        <f t="shared" si="13"/>
        <v>10</v>
      </c>
      <c r="W19" s="43">
        <f t="shared" si="14"/>
        <v>3328.3602543825677</v>
      </c>
      <c r="X19" s="44">
        <f t="shared" si="15"/>
        <v>6.9754902648300732</v>
      </c>
      <c r="Y19" s="44">
        <f t="shared" si="2"/>
        <v>8.9288519676735874</v>
      </c>
      <c r="Z19" s="44"/>
      <c r="AA19" s="44">
        <f t="shared" si="3"/>
        <v>1.1409745289881938</v>
      </c>
      <c r="AC19" s="43">
        <f t="shared" si="16"/>
        <v>2265.3547091066898</v>
      </c>
      <c r="AE19" s="45">
        <f t="shared" si="17"/>
        <v>11.510329295333044</v>
      </c>
      <c r="AG19" s="45">
        <f t="shared" si="4"/>
        <v>1.3342238827984376</v>
      </c>
      <c r="AI19" s="46"/>
      <c r="AJ19" s="46"/>
    </row>
    <row r="20" spans="1:36" x14ac:dyDescent="0.35">
      <c r="A20" s="31">
        <f t="shared" si="18"/>
        <v>140</v>
      </c>
      <c r="B20" s="40">
        <f t="shared" si="5"/>
        <v>0.72228495801873438</v>
      </c>
      <c r="C20" s="41">
        <f t="shared" si="19"/>
        <v>3078.4094959871068</v>
      </c>
      <c r="D20" s="42">
        <f t="shared" si="6"/>
        <v>10.433333333333341</v>
      </c>
      <c r="E20" s="42">
        <f t="shared" si="7"/>
        <v>2.0450879999999998</v>
      </c>
      <c r="G20" s="13">
        <v>0</v>
      </c>
      <c r="H20" s="43">
        <f t="shared" si="9"/>
        <v>18.651193693505917</v>
      </c>
      <c r="I20" s="43"/>
      <c r="J20" s="118"/>
      <c r="K20" s="44">
        <f t="shared" si="10"/>
        <v>93.255968467529584</v>
      </c>
      <c r="L20" s="41">
        <f t="shared" si="0"/>
        <v>67.357383269566029</v>
      </c>
      <c r="M20" s="41"/>
      <c r="N20" s="43">
        <f>'Gain-Sub-Exp'!$D$19*E20^2/$T$2</f>
        <v>91.937379537740725</v>
      </c>
      <c r="O20" s="44">
        <f t="shared" si="11"/>
        <v>1.5322896589623454</v>
      </c>
      <c r="Q20" s="44">
        <f>('Gain-Sub-Exp'!O24)</f>
        <v>39.157087335975064</v>
      </c>
      <c r="R20" s="44">
        <f t="shared" si="1"/>
        <v>0.43852004484865026</v>
      </c>
      <c r="S20" s="44"/>
      <c r="T20" s="43">
        <f t="shared" si="12"/>
        <v>41.82384927743999</v>
      </c>
      <c r="U20" s="44">
        <f t="shared" si="13"/>
        <v>10</v>
      </c>
      <c r="W20" s="43">
        <f t="shared" si="14"/>
        <v>2968.7897433952521</v>
      </c>
      <c r="X20" s="44">
        <f t="shared" si="15"/>
        <v>6.8150388296790094</v>
      </c>
      <c r="Y20" s="44">
        <f t="shared" si="2"/>
        <v>8.7970370210146172</v>
      </c>
      <c r="Z20" s="44"/>
      <c r="AA20" s="44">
        <f t="shared" si="3"/>
        <v>1.0890884311384181</v>
      </c>
      <c r="AC20" s="43">
        <f t="shared" si="16"/>
        <v>2428.2882012118303</v>
      </c>
      <c r="AE20" s="45">
        <f t="shared" si="17"/>
        <v>11.412538104698138</v>
      </c>
      <c r="AG20" s="45">
        <f t="shared" si="4"/>
        <v>1.3342238827984378</v>
      </c>
      <c r="AI20" s="46"/>
      <c r="AJ20" s="46"/>
    </row>
    <row r="21" spans="1:36" x14ac:dyDescent="0.35">
      <c r="A21" s="31">
        <f t="shared" si="18"/>
        <v>150</v>
      </c>
      <c r="B21" s="40">
        <f t="shared" si="5"/>
        <v>0.64373714643408997</v>
      </c>
      <c r="C21" s="41">
        <f t="shared" si="19"/>
        <v>2752.3444236969431</v>
      </c>
      <c r="D21" s="42">
        <f t="shared" si="6"/>
        <v>10.300000000000008</v>
      </c>
      <c r="E21" s="42">
        <f t="shared" si="7"/>
        <v>2.0000249999999999</v>
      </c>
      <c r="G21" s="13">
        <v>0</v>
      </c>
      <c r="H21" s="43">
        <f t="shared" si="9"/>
        <v>20.003557826442147</v>
      </c>
      <c r="I21" s="43"/>
      <c r="J21" s="117"/>
      <c r="K21" s="44">
        <f t="shared" si="10"/>
        <v>100.01778913221074</v>
      </c>
      <c r="L21" s="41">
        <f t="shared" si="0"/>
        <v>64.385166168615882</v>
      </c>
      <c r="M21" s="41"/>
      <c r="N21" s="43">
        <f>'Gain-Sub-Exp'!$D$19*E21^2/$T$2</f>
        <v>87.930383812077409</v>
      </c>
      <c r="O21" s="44">
        <f t="shared" si="11"/>
        <v>1.4655063968679569</v>
      </c>
      <c r="Q21" s="44">
        <f>('Gain-Sub-Exp'!O25)</f>
        <v>40.941479428701555</v>
      </c>
      <c r="R21" s="44">
        <f t="shared" si="1"/>
        <v>0.41940760163827018</v>
      </c>
      <c r="S21" s="44"/>
      <c r="T21" s="43">
        <f t="shared" si="12"/>
        <v>40.001000006249996</v>
      </c>
      <c r="U21" s="44">
        <f t="shared" si="13"/>
        <v>10</v>
      </c>
      <c r="W21" s="43">
        <f t="shared" si="14"/>
        <v>2647.5388499204391</v>
      </c>
      <c r="X21" s="44">
        <f t="shared" si="15"/>
        <v>6.6648711621841024</v>
      </c>
      <c r="Y21" s="44">
        <f t="shared" si="2"/>
        <v>8.663501943719421</v>
      </c>
      <c r="Z21" s="44"/>
      <c r="AA21" s="44">
        <f t="shared" si="3"/>
        <v>1.0416216367792253</v>
      </c>
      <c r="AC21" s="43">
        <f t="shared" si="16"/>
        <v>2604.9284086105745</v>
      </c>
      <c r="AE21" s="45">
        <f t="shared" si="17"/>
        <v>11.311604817220786</v>
      </c>
      <c r="AG21" s="45">
        <f t="shared" si="4"/>
        <v>1.3342238827984378</v>
      </c>
      <c r="AI21" s="46"/>
      <c r="AJ21" s="46"/>
    </row>
    <row r="22" spans="1:36" x14ac:dyDescent="0.35">
      <c r="A22" s="31">
        <f t="shared" si="18"/>
        <v>160</v>
      </c>
      <c r="B22" s="40">
        <f t="shared" si="5"/>
        <v>0.57373133567092294</v>
      </c>
      <c r="C22" s="41">
        <f t="shared" si="19"/>
        <v>2460.8161573470497</v>
      </c>
      <c r="D22" s="42">
        <f t="shared" si="6"/>
        <v>10.166666666666675</v>
      </c>
      <c r="E22" s="42">
        <f t="shared" si="7"/>
        <v>1.958048</v>
      </c>
      <c r="G22" s="13">
        <v>0</v>
      </c>
      <c r="H22" s="43">
        <f t="shared" si="9"/>
        <v>21.453979423051017</v>
      </c>
      <c r="I22" s="43"/>
      <c r="J22" s="117"/>
      <c r="K22" s="44">
        <f t="shared" si="10"/>
        <v>107.26989711525508</v>
      </c>
      <c r="L22" s="41">
        <f t="shared" si="0"/>
        <v>61.544101349217776</v>
      </c>
      <c r="M22" s="41"/>
      <c r="N22" s="43">
        <f>'Gain-Sub-Exp'!$D$19*E22^2/$T$2</f>
        <v>84.278110100554329</v>
      </c>
      <c r="O22" s="44">
        <f t="shared" si="11"/>
        <v>1.4046351683425722</v>
      </c>
      <c r="Q22" s="44">
        <f>('Gain-Sub-Exp'!O26)</f>
        <v>42.715718182393381</v>
      </c>
      <c r="R22" s="44">
        <f t="shared" si="1"/>
        <v>0.40198710042505925</v>
      </c>
      <c r="S22" s="44"/>
      <c r="T22" s="43">
        <f t="shared" si="12"/>
        <v>38.339519703040004</v>
      </c>
      <c r="U22" s="44">
        <f t="shared" si="13"/>
        <v>10</v>
      </c>
      <c r="W22" s="43">
        <f t="shared" si="14"/>
        <v>2360.5305491943668</v>
      </c>
      <c r="X22" s="44">
        <f t="shared" si="15"/>
        <v>6.5249872623453502</v>
      </c>
      <c r="Y22" s="44">
        <f t="shared" si="2"/>
        <v>8.5280998569577875</v>
      </c>
      <c r="Z22" s="44"/>
      <c r="AA22" s="44">
        <f t="shared" si="3"/>
        <v>0.99835687258243944</v>
      </c>
      <c r="AC22" s="43">
        <f t="shared" si="16"/>
        <v>2796.7266744573703</v>
      </c>
      <c r="AE22" s="45">
        <f t="shared" si="17"/>
        <v>11.207267920055727</v>
      </c>
      <c r="AG22" s="45">
        <f t="shared" si="4"/>
        <v>1.3342238827984376</v>
      </c>
      <c r="AI22" s="46"/>
      <c r="AJ22" s="46"/>
    </row>
    <row r="23" spans="1:36" x14ac:dyDescent="0.35">
      <c r="A23" s="31">
        <f t="shared" si="18"/>
        <v>170</v>
      </c>
      <c r="B23" s="40">
        <f t="shared" si="5"/>
        <v>0.51133859115343705</v>
      </c>
      <c r="C23" s="41">
        <f t="shared" si="19"/>
        <v>2200.1665591424812</v>
      </c>
      <c r="D23" s="42">
        <f t="shared" si="6"/>
        <v>10.033333333333342</v>
      </c>
      <c r="E23" s="42">
        <f t="shared" si="7"/>
        <v>1.919157</v>
      </c>
      <c r="G23" s="13">
        <v>0</v>
      </c>
      <c r="H23" s="43">
        <f t="shared" si="9"/>
        <v>23.009568451681826</v>
      </c>
      <c r="I23" s="43"/>
      <c r="J23" s="117"/>
      <c r="K23" s="44">
        <f t="shared" si="10"/>
        <v>115.04784225840913</v>
      </c>
      <c r="L23" s="41">
        <f t="shared" si="0"/>
        <v>58.828401575657786</v>
      </c>
      <c r="M23" s="41"/>
      <c r="N23" s="43">
        <f>'Gain-Sub-Exp'!$D$19*E23^2/$T$2</f>
        <v>80.963472942634837</v>
      </c>
      <c r="O23" s="44">
        <f t="shared" si="11"/>
        <v>1.3493912157105805</v>
      </c>
      <c r="Q23" s="44">
        <f>('Gain-Sub-Exp'!O27)</f>
        <v>44.464495767748417</v>
      </c>
      <c r="R23" s="44">
        <f t="shared" si="1"/>
        <v>0.38617704751234627</v>
      </c>
      <c r="S23" s="44"/>
      <c r="T23" s="43">
        <f t="shared" si="12"/>
        <v>36.83163590649</v>
      </c>
      <c r="U23" s="44">
        <f t="shared" si="13"/>
        <v>10</v>
      </c>
      <c r="W23" s="43">
        <f t="shared" si="14"/>
        <v>2104.1203446128211</v>
      </c>
      <c r="X23" s="44">
        <f t="shared" si="15"/>
        <v>6.3953871301627512</v>
      </c>
      <c r="Y23" s="44">
        <f t="shared" si="2"/>
        <v>8.3906791230526583</v>
      </c>
      <c r="Z23" s="44"/>
      <c r="AA23" s="44">
        <f t="shared" si="3"/>
        <v>0.95909174451089418</v>
      </c>
      <c r="AC23" s="43">
        <f t="shared" si="16"/>
        <v>3005.3265273956872</v>
      </c>
      <c r="AE23" s="45">
        <f t="shared" si="17"/>
        <v>11.099260774370366</v>
      </c>
      <c r="AG23" s="45">
        <f t="shared" si="4"/>
        <v>1.3342238827984376</v>
      </c>
      <c r="AI23" s="46"/>
      <c r="AJ23" s="46"/>
    </row>
    <row r="24" spans="1:36" s="112" customFormat="1" x14ac:dyDescent="0.35">
      <c r="A24" s="107">
        <v>178</v>
      </c>
      <c r="B24" s="40">
        <f t="shared" si="5"/>
        <v>0.46634633771291434</v>
      </c>
      <c r="C24" s="41">
        <f t="shared" si="19"/>
        <v>2011.669684809151</v>
      </c>
      <c r="D24" s="42">
        <f t="shared" si="6"/>
        <v>9.9266666666666747</v>
      </c>
      <c r="E24" s="42">
        <f t="shared" si="7"/>
        <v>1.8902661200000002</v>
      </c>
      <c r="F24" s="111"/>
      <c r="G24" s="111">
        <v>0</v>
      </c>
      <c r="H24" s="43">
        <f t="shared" si="9"/>
        <v>24.334866298277706</v>
      </c>
      <c r="I24" s="109"/>
      <c r="J24" s="119"/>
      <c r="K24" s="44">
        <f t="shared" si="10"/>
        <v>121.67433149138853</v>
      </c>
      <c r="L24" s="41">
        <f t="shared" si="0"/>
        <v>56.742378884676164</v>
      </c>
      <c r="M24" s="109"/>
      <c r="N24" s="109">
        <f>'Gain-Sub-Exp'!$D$19*E24^2/$T$2</f>
        <v>78.544181975647135</v>
      </c>
      <c r="O24" s="110">
        <f t="shared" ref="O24" si="22">N24/60</f>
        <v>1.3090696995941189</v>
      </c>
      <c r="Q24" s="44">
        <f>('Gain-Sub-Exp'!O28)</f>
        <v>45.834075923232497</v>
      </c>
      <c r="R24" s="44">
        <f t="shared" si="1"/>
        <v>0.3746375889299981</v>
      </c>
      <c r="S24" s="110"/>
      <c r="T24" s="43">
        <f t="shared" si="12"/>
        <v>35.73106004419855</v>
      </c>
      <c r="U24" s="44">
        <f t="shared" si="13"/>
        <v>10</v>
      </c>
      <c r="W24" s="43">
        <f t="shared" si="14"/>
        <v>1918.8216082913464</v>
      </c>
      <c r="X24" s="44">
        <f t="shared" si="15"/>
        <v>6.2991113371291041</v>
      </c>
      <c r="Y24" s="44">
        <f t="shared" si="2"/>
        <v>8.2791843863851984</v>
      </c>
      <c r="Z24" s="110"/>
      <c r="AA24" s="44">
        <f t="shared" si="3"/>
        <v>0.93043287021023646</v>
      </c>
      <c r="AC24" s="43">
        <f t="shared" si="16"/>
        <v>3185.5492455896606</v>
      </c>
      <c r="AE24" s="45">
        <f t="shared" si="17"/>
        <v>11.010030905761198</v>
      </c>
      <c r="AG24" s="45">
        <f t="shared" si="4"/>
        <v>1.3342238827984374</v>
      </c>
      <c r="AI24" s="114"/>
      <c r="AJ24" s="114"/>
    </row>
    <row r="25" spans="1:36" x14ac:dyDescent="0.35">
      <c r="A25" s="31">
        <v>180</v>
      </c>
      <c r="B25" s="40">
        <f t="shared" si="5"/>
        <v>0.45573099906948839</v>
      </c>
      <c r="C25" s="41">
        <f t="shared" si="19"/>
        <v>1967.1249611704236</v>
      </c>
      <c r="D25" s="42">
        <f t="shared" si="6"/>
        <v>9.9000000000000075</v>
      </c>
      <c r="E25" s="42">
        <f t="shared" si="7"/>
        <v>1.8833520000000001</v>
      </c>
      <c r="G25" s="13">
        <v>0</v>
      </c>
      <c r="H25" s="43">
        <f t="shared" si="9"/>
        <v>24.677950411557678</v>
      </c>
      <c r="I25" s="43"/>
      <c r="J25" s="117"/>
      <c r="K25" s="44">
        <f t="shared" si="10"/>
        <v>123.38975205778839</v>
      </c>
      <c r="L25" s="41">
        <f t="shared" si="0"/>
        <v>56.232534980232359</v>
      </c>
      <c r="M25" s="41"/>
      <c r="N25" s="43">
        <f>'Gain-Sub-Exp'!$D$19*E25^2/$T$2</f>
        <v>77.970642940178806</v>
      </c>
      <c r="O25" s="44">
        <f t="shared" si="11"/>
        <v>1.2995107156696468</v>
      </c>
      <c r="Q25" s="44">
        <f>('Gain-Sub-Exp'!O29)</f>
        <v>46.17122373560543</v>
      </c>
      <c r="R25" s="44">
        <f t="shared" si="1"/>
        <v>0.37190194033069496</v>
      </c>
      <c r="S25" s="44"/>
      <c r="T25" s="43">
        <f t="shared" si="12"/>
        <v>35.470147559040008</v>
      </c>
      <c r="U25" s="44">
        <f t="shared" si="13"/>
        <v>10</v>
      </c>
      <c r="W25" s="43">
        <f t="shared" si="14"/>
        <v>1875.0503766908205</v>
      </c>
      <c r="X25" s="44">
        <f t="shared" si="15"/>
        <v>6.2760707656363071</v>
      </c>
      <c r="Y25" s="44">
        <f t="shared" si="2"/>
        <v>8.2510836950919302</v>
      </c>
      <c r="Z25" s="44"/>
      <c r="AA25" s="44">
        <f t="shared" si="3"/>
        <v>0.92363873781843353</v>
      </c>
      <c r="AC25" s="43">
        <f t="shared" si="16"/>
        <v>3232.5941282941371</v>
      </c>
      <c r="AE25" s="45">
        <f t="shared" si="17"/>
        <v>10.987313054694029</v>
      </c>
      <c r="AG25" s="45">
        <f t="shared" si="4"/>
        <v>1.3342238827984376</v>
      </c>
      <c r="AI25" s="46"/>
      <c r="AJ25" s="46"/>
    </row>
    <row r="26" spans="1:36" x14ac:dyDescent="0.35">
      <c r="A26" s="31">
        <v>190</v>
      </c>
      <c r="B26" s="40">
        <f t="shared" si="5"/>
        <v>0.4061706804573107</v>
      </c>
      <c r="C26" s="41">
        <f t="shared" si="19"/>
        <v>1758.7671245980191</v>
      </c>
      <c r="D26" s="42">
        <f t="shared" si="6"/>
        <v>9.7666666666666746</v>
      </c>
      <c r="E26" s="42">
        <f t="shared" si="7"/>
        <v>1.8506330000000002</v>
      </c>
      <c r="G26" s="13">
        <v>0</v>
      </c>
      <c r="H26" s="43">
        <f t="shared" si="9"/>
        <v>26.467303712981469</v>
      </c>
      <c r="I26" s="43"/>
      <c r="J26" s="117"/>
      <c r="K26" s="44">
        <f t="shared" si="10"/>
        <v>132.33651856490735</v>
      </c>
      <c r="L26" s="41">
        <f t="shared" si="0"/>
        <v>53.75121379485995</v>
      </c>
      <c r="M26" s="41"/>
      <c r="N26" s="43">
        <f>'Gain-Sub-Exp'!$D$19*E26^2/$T$2</f>
        <v>75.285046757442487</v>
      </c>
      <c r="O26" s="44">
        <f t="shared" si="11"/>
        <v>1.2547507792907082</v>
      </c>
      <c r="Q26" s="44">
        <f>('Gain-Sub-Exp'!O30)</f>
        <v>47.818260797508408</v>
      </c>
      <c r="R26" s="44">
        <f t="shared" si="1"/>
        <v>0.35909226743790329</v>
      </c>
      <c r="S26" s="44"/>
      <c r="T26" s="43">
        <f t="shared" si="12"/>
        <v>34.24842500689001</v>
      </c>
      <c r="U26" s="44">
        <f t="shared" si="13"/>
        <v>10</v>
      </c>
      <c r="W26" s="43">
        <f t="shared" si="14"/>
        <v>1670.4083935288313</v>
      </c>
      <c r="X26" s="44">
        <f t="shared" si="15"/>
        <v>6.1670381687660178</v>
      </c>
      <c r="Y26" s="44">
        <f t="shared" si="2"/>
        <v>8.1091534241169985</v>
      </c>
      <c r="Z26" s="44"/>
      <c r="AA26" s="44">
        <f t="shared" si="3"/>
        <v>0.89182521704990925</v>
      </c>
      <c r="AC26" s="43">
        <f t="shared" si="16"/>
        <v>3480.6542301755144</v>
      </c>
      <c r="AE26" s="45">
        <f t="shared" si="17"/>
        <v>10.87115225234448</v>
      </c>
      <c r="AG26" s="45">
        <f t="shared" si="4"/>
        <v>1.3342238827984376</v>
      </c>
      <c r="AI26" s="46"/>
      <c r="AJ26" s="46"/>
    </row>
    <row r="27" spans="1:36" x14ac:dyDescent="0.35">
      <c r="A27" s="31">
        <v>200</v>
      </c>
      <c r="B27" s="40">
        <f t="shared" si="5"/>
        <v>0.36199999999999999</v>
      </c>
      <c r="C27" s="41">
        <f t="shared" si="19"/>
        <v>1572.4785459111449</v>
      </c>
      <c r="D27" s="42">
        <f t="shared" si="6"/>
        <v>9.6333333333333417</v>
      </c>
      <c r="E27" s="42">
        <f t="shared" si="7"/>
        <v>1.8210000000000002</v>
      </c>
      <c r="G27" s="13">
        <v>0</v>
      </c>
      <c r="H27" s="43">
        <f t="shared" si="9"/>
        <v>28.386399767912728</v>
      </c>
      <c r="I27" s="43"/>
      <c r="J27" s="117"/>
      <c r="K27" s="44">
        <f t="shared" si="10"/>
        <v>141.93199883956365</v>
      </c>
      <c r="L27" s="41">
        <f t="shared" si="0"/>
        <v>51.379383579922042</v>
      </c>
      <c r="M27" s="41"/>
      <c r="N27" s="43">
        <f>'Gain-Sub-Exp'!$D$19*E27^2/$T$2</f>
        <v>72.893367121078654</v>
      </c>
      <c r="O27" s="44">
        <f t="shared" si="11"/>
        <v>1.2148894520179776</v>
      </c>
      <c r="Q27" s="44">
        <f>('Gain-Sub-Exp'!O31)</f>
        <v>49.387209593710537</v>
      </c>
      <c r="R27" s="44">
        <f t="shared" si="1"/>
        <v>0.34768450851900423</v>
      </c>
      <c r="S27" s="44"/>
      <c r="T27" s="43">
        <f t="shared" si="12"/>
        <v>33.160410000000006</v>
      </c>
      <c r="U27" s="44">
        <f t="shared" si="13"/>
        <v>10</v>
      </c>
      <c r="W27" s="43">
        <f t="shared" si="14"/>
        <v>1487.591067822704</v>
      </c>
      <c r="X27" s="44">
        <f t="shared" si="15"/>
        <v>6.0682893395518809</v>
      </c>
      <c r="Y27" s="44">
        <f t="shared" si="2"/>
        <v>7.9647242732369916</v>
      </c>
      <c r="Z27" s="44"/>
      <c r="AA27" s="44">
        <f t="shared" si="3"/>
        <v>0.86349342604118295</v>
      </c>
      <c r="AC27" s="43">
        <f t="shared" si="16"/>
        <v>3751.9327331907643</v>
      </c>
      <c r="AE27" s="45">
        <f t="shared" si="17"/>
        <v>10.750505175784678</v>
      </c>
      <c r="AG27" s="45">
        <f t="shared" si="4"/>
        <v>1.3342238827984378</v>
      </c>
      <c r="AI27" s="46"/>
      <c r="AJ27" s="46"/>
    </row>
    <row r="28" spans="1:36" x14ac:dyDescent="0.35">
      <c r="A28" s="31">
        <f t="shared" si="18"/>
        <v>210</v>
      </c>
      <c r="B28" s="40">
        <f t="shared" si="5"/>
        <v>0.32263283960441586</v>
      </c>
      <c r="C28" s="41">
        <f t="shared" si="19"/>
        <v>1405.9216497556392</v>
      </c>
      <c r="D28" s="42">
        <f t="shared" si="6"/>
        <v>9.5000000000000089</v>
      </c>
      <c r="E28" s="42">
        <f t="shared" si="7"/>
        <v>1.7944530000000001</v>
      </c>
      <c r="G28" s="13">
        <v>0</v>
      </c>
      <c r="H28" s="43">
        <f t="shared" si="9"/>
        <v>30.444645987439188</v>
      </c>
      <c r="I28" s="43"/>
      <c r="J28" s="117"/>
      <c r="K28" s="44">
        <f t="shared" si="10"/>
        <v>152.22322993719592</v>
      </c>
      <c r="L28" s="41">
        <f t="shared" si="0"/>
        <v>49.112212928393447</v>
      </c>
      <c r="M28" s="41"/>
      <c r="N28" s="43">
        <f>'Gain-Sub-Exp'!$D$19*E28^2/$T$2</f>
        <v>70.783542820136489</v>
      </c>
      <c r="O28" s="44">
        <f t="shared" si="11"/>
        <v>1.1797257136689414</v>
      </c>
      <c r="Q28" s="44">
        <f>('Gain-Sub-Exp'!O32)</f>
        <v>50.85927966544044</v>
      </c>
      <c r="R28" s="44">
        <f t="shared" si="1"/>
        <v>0.33762113438626495</v>
      </c>
      <c r="S28" s="44"/>
      <c r="T28" s="43">
        <f t="shared" si="12"/>
        <v>32.200615692090004</v>
      </c>
      <c r="U28" s="44">
        <f t="shared" si="13"/>
        <v>10</v>
      </c>
      <c r="W28" s="43">
        <f t="shared" si="14"/>
        <v>1324.2712000007696</v>
      </c>
      <c r="X28" s="44">
        <f t="shared" si="15"/>
        <v>5.9798242779939006</v>
      </c>
      <c r="Y28" s="44">
        <f t="shared" si="2"/>
        <v>7.8176283737350252</v>
      </c>
      <c r="Z28" s="44"/>
      <c r="AA28" s="44">
        <f t="shared" si="3"/>
        <v>0.83850048791912635</v>
      </c>
      <c r="AC28" s="43">
        <f t="shared" si="16"/>
        <v>4049.2071348958702</v>
      </c>
      <c r="AE28" s="45">
        <f t="shared" si="17"/>
        <v>10.625099360907987</v>
      </c>
      <c r="AG28" s="45">
        <f t="shared" si="4"/>
        <v>1.3342238827984376</v>
      </c>
      <c r="AI28" s="46"/>
      <c r="AJ28" s="46"/>
    </row>
    <row r="29" spans="1:36" x14ac:dyDescent="0.35">
      <c r="A29" s="31">
        <f t="shared" si="18"/>
        <v>220</v>
      </c>
      <c r="B29" s="40">
        <f t="shared" si="5"/>
        <v>0.28754682097018974</v>
      </c>
      <c r="C29" s="41">
        <f t="shared" si="19"/>
        <v>1257.0064567121342</v>
      </c>
      <c r="D29" s="42">
        <f t="shared" si="6"/>
        <v>9.366666666666676</v>
      </c>
      <c r="E29" s="42">
        <f t="shared" si="7"/>
        <v>1.7709920000000001</v>
      </c>
      <c r="G29" s="13">
        <v>0</v>
      </c>
      <c r="H29" s="43">
        <f t="shared" si="9"/>
        <v>32.652131896916877</v>
      </c>
      <c r="I29" s="43"/>
      <c r="J29" s="117"/>
      <c r="K29" s="44">
        <f t="shared" si="10"/>
        <v>163.26065948458438</v>
      </c>
      <c r="L29" s="41">
        <f t="shared" si="0"/>
        <v>46.945083624288898</v>
      </c>
      <c r="M29" s="41"/>
      <c r="N29" s="43">
        <f>'Gain-Sub-Exp'!$D$19*E29^2/$T$2</f>
        <v>68.944768706061666</v>
      </c>
      <c r="O29" s="44">
        <f t="shared" si="11"/>
        <v>1.1490794784343612</v>
      </c>
      <c r="Q29" s="44">
        <f>('Gain-Sub-Exp'!O33)</f>
        <v>52.215709292581693</v>
      </c>
      <c r="R29" s="44">
        <f t="shared" si="1"/>
        <v>0.32885060697918761</v>
      </c>
      <c r="S29" s="44"/>
      <c r="T29" s="43">
        <f t="shared" si="12"/>
        <v>31.364126640639999</v>
      </c>
      <c r="U29" s="44">
        <f t="shared" si="13"/>
        <v>9.9999999999999982</v>
      </c>
      <c r="W29" s="43">
        <f t="shared" si="14"/>
        <v>1178.3683958402262</v>
      </c>
      <c r="X29" s="44">
        <f t="shared" si="15"/>
        <v>5.9016429840920726</v>
      </c>
      <c r="Y29" s="44">
        <f t="shared" si="2"/>
        <v>7.667693841626515</v>
      </c>
      <c r="Z29" s="44"/>
      <c r="AA29" s="44">
        <f t="shared" si="3"/>
        <v>0.81671840510161875</v>
      </c>
      <c r="AC29" s="43">
        <f t="shared" si="16"/>
        <v>4375.6664382701319</v>
      </c>
      <c r="AE29" s="45">
        <f t="shared" si="17"/>
        <v>10.494664282256959</v>
      </c>
      <c r="AG29" s="45">
        <f t="shared" si="4"/>
        <v>1.3342238827984376</v>
      </c>
      <c r="AI29" s="46"/>
      <c r="AJ29" s="46"/>
    </row>
    <row r="30" spans="1:36" x14ac:dyDescent="0.35">
      <c r="A30" s="31">
        <f t="shared" si="18"/>
        <v>230</v>
      </c>
      <c r="B30" s="40">
        <f t="shared" si="5"/>
        <v>0.25627637394705793</v>
      </c>
      <c r="C30" s="41">
        <f t="shared" si="19"/>
        <v>1123.8643579395932</v>
      </c>
      <c r="D30" s="42">
        <f t="shared" si="6"/>
        <v>9.2333333333333432</v>
      </c>
      <c r="E30" s="42">
        <f t="shared" si="7"/>
        <v>1.7506169999999999</v>
      </c>
      <c r="G30" s="13">
        <v>0</v>
      </c>
      <c r="H30" s="43">
        <f t="shared" si="9"/>
        <v>35.019678594835113</v>
      </c>
      <c r="I30" s="43"/>
      <c r="J30" s="117"/>
      <c r="K30" s="44">
        <f t="shared" si="10"/>
        <v>175.09839297417557</v>
      </c>
      <c r="L30" s="41">
        <f t="shared" si="0"/>
        <v>44.873581235378722</v>
      </c>
      <c r="M30" s="41"/>
      <c r="N30" s="43">
        <f>'Gain-Sub-Exp'!$D$19*E30^2/$T$2</f>
        <v>67.367495692696295</v>
      </c>
      <c r="O30" s="44">
        <f t="shared" si="11"/>
        <v>1.1227915948782716</v>
      </c>
      <c r="Q30" s="44">
        <f>('Gain-Sub-Exp'!O34)</f>
        <v>53.438234017511462</v>
      </c>
      <c r="R30" s="44">
        <f t="shared" si="1"/>
        <v>0.32132737936450867</v>
      </c>
      <c r="S30" s="44"/>
      <c r="T30" s="43">
        <f t="shared" si="12"/>
        <v>30.646598806889997</v>
      </c>
      <c r="U30" s="44">
        <f t="shared" si="13"/>
        <v>10</v>
      </c>
      <c r="W30" s="43">
        <f t="shared" si="14"/>
        <v>1048.02285051796</v>
      </c>
      <c r="X30" s="44">
        <f t="shared" si="15"/>
        <v>5.8337454578464003</v>
      </c>
      <c r="Y30" s="44">
        <f t="shared" si="2"/>
        <v>7.5147442537299005</v>
      </c>
      <c r="Z30" s="44"/>
      <c r="AA30" s="44">
        <f t="shared" si="3"/>
        <v>0.79803405929755011</v>
      </c>
      <c r="AC30" s="43">
        <f t="shared" si="16"/>
        <v>4734.9823944239643</v>
      </c>
      <c r="AE30" s="45">
        <f t="shared" si="17"/>
        <v>10.358932231955892</v>
      </c>
      <c r="AG30" s="45">
        <f t="shared" si="4"/>
        <v>1.3342238827984374</v>
      </c>
      <c r="AI30" s="46"/>
      <c r="AJ30" s="46"/>
    </row>
    <row r="31" spans="1:36" x14ac:dyDescent="0.35">
      <c r="A31" s="31">
        <f t="shared" si="18"/>
        <v>240</v>
      </c>
      <c r="B31" s="40">
        <f t="shared" si="5"/>
        <v>0.22840655870182994</v>
      </c>
      <c r="C31" s="41">
        <f t="shared" si="19"/>
        <v>1004.8246676080747</v>
      </c>
      <c r="D31" s="42">
        <f t="shared" si="6"/>
        <v>9.1000000000000103</v>
      </c>
      <c r="E31" s="42">
        <f t="shared" si="7"/>
        <v>1.733328</v>
      </c>
      <c r="G31" s="13">
        <v>0</v>
      </c>
      <c r="H31" s="43">
        <f t="shared" si="9"/>
        <v>37.558891797853818</v>
      </c>
      <c r="I31" s="43"/>
      <c r="J31" s="117"/>
      <c r="K31" s="44">
        <f t="shared" si="10"/>
        <v>187.79445898926909</v>
      </c>
      <c r="L31" s="41">
        <f t="shared" si="0"/>
        <v>42.893486121010888</v>
      </c>
      <c r="M31" s="41"/>
      <c r="N31" s="43">
        <f>'Gain-Sub-Exp'!$D$19*E31^2/$T$2</f>
        <v>66.043430756278951</v>
      </c>
      <c r="O31" s="44">
        <f t="shared" si="11"/>
        <v>1.1007238459379824</v>
      </c>
      <c r="Q31" s="44">
        <f>('Gain-Sub-Exp'!O35)</f>
        <v>54.509584962130958</v>
      </c>
      <c r="R31" s="44">
        <f t="shared" si="1"/>
        <v>0.31501189573619942</v>
      </c>
      <c r="S31" s="44"/>
      <c r="T31" s="43">
        <f t="shared" si="12"/>
        <v>30.04425955584</v>
      </c>
      <c r="U31" s="44">
        <f t="shared" si="13"/>
        <v>10</v>
      </c>
      <c r="W31" s="43">
        <f t="shared" si="14"/>
        <v>931.57191003548769</v>
      </c>
      <c r="X31" s="44">
        <f t="shared" si="15"/>
        <v>5.7761316992568821</v>
      </c>
      <c r="Y31" s="44">
        <f t="shared" si="2"/>
        <v>7.358597659337307</v>
      </c>
      <c r="Z31" s="44"/>
      <c r="AA31" s="44">
        <f t="shared" si="3"/>
        <v>0.7823492115068188</v>
      </c>
      <c r="AC31" s="43">
        <f t="shared" si="16"/>
        <v>5131.3943339579037</v>
      </c>
      <c r="AE31" s="45">
        <f t="shared" si="17"/>
        <v>10.217638706303658</v>
      </c>
      <c r="AG31" s="45">
        <f t="shared" si="4"/>
        <v>1.3342238827984376</v>
      </c>
      <c r="AI31" s="46"/>
      <c r="AJ31" s="46"/>
    </row>
    <row r="32" spans="1:36" x14ac:dyDescent="0.35">
      <c r="A32" s="31">
        <f t="shared" si="18"/>
        <v>250</v>
      </c>
      <c r="B32" s="40">
        <f t="shared" si="5"/>
        <v>0.20356755971890628</v>
      </c>
      <c r="C32" s="41">
        <f t="shared" si="19"/>
        <v>898.39365889735484</v>
      </c>
      <c r="D32" s="42">
        <f t="shared" si="6"/>
        <v>8.9666666666666774</v>
      </c>
      <c r="E32" s="42">
        <f t="shared" si="7"/>
        <v>1.719125</v>
      </c>
      <c r="G32" s="13">
        <v>0</v>
      </c>
      <c r="H32" s="43">
        <f t="shared" si="9"/>
        <v>40.282218732040114</v>
      </c>
      <c r="I32" s="43"/>
      <c r="J32" s="117"/>
      <c r="K32" s="44">
        <f t="shared" si="10"/>
        <v>201.41109366020058</v>
      </c>
      <c r="L32" s="41">
        <f t="shared" si="0"/>
        <v>41.000764836723107</v>
      </c>
      <c r="M32" s="41"/>
      <c r="N32" s="43">
        <f>'Gain-Sub-Exp'!$D$19*E32^2/$T$2</f>
        <v>64.965536935444661</v>
      </c>
      <c r="O32" s="44">
        <f t="shared" si="11"/>
        <v>1.0827589489240776</v>
      </c>
      <c r="Q32" s="44">
        <f>('Gain-Sub-Exp'!O36)</f>
        <v>55.413995940297845</v>
      </c>
      <c r="R32" s="44">
        <f t="shared" si="1"/>
        <v>0.30987059141546552</v>
      </c>
      <c r="S32" s="44"/>
      <c r="T32" s="43">
        <f t="shared" si="12"/>
        <v>29.553907656250008</v>
      </c>
      <c r="U32" s="44">
        <f t="shared" si="13"/>
        <v>10.000000000000002</v>
      </c>
      <c r="W32" s="43">
        <f t="shared" si="14"/>
        <v>827.52911581296621</v>
      </c>
      <c r="X32" s="44">
        <f t="shared" si="15"/>
        <v>5.7288017083235188</v>
      </c>
      <c r="Y32" s="44">
        <f t="shared" si="2"/>
        <v>7.1990649757466878</v>
      </c>
      <c r="Z32" s="44"/>
      <c r="AA32" s="44">
        <f t="shared" si="3"/>
        <v>0.76958050202033279</v>
      </c>
      <c r="AC32" s="43">
        <f t="shared" si="16"/>
        <v>5569.8102925429566</v>
      </c>
      <c r="AE32" s="45">
        <f t="shared" si="17"/>
        <v>10.070522109647772</v>
      </c>
      <c r="AG32" s="45">
        <f t="shared" si="4"/>
        <v>1.3342238827984378</v>
      </c>
      <c r="AI32" s="46"/>
      <c r="AJ32" s="46"/>
    </row>
    <row r="33" spans="1:36" x14ac:dyDescent="0.35">
      <c r="A33" s="31">
        <f t="shared" si="18"/>
        <v>260</v>
      </c>
      <c r="B33" s="40">
        <f t="shared" si="5"/>
        <v>0.18142977857307249</v>
      </c>
      <c r="C33" s="41">
        <f t="shared" si="19"/>
        <v>803.23582050215487</v>
      </c>
      <c r="D33" s="42">
        <f t="shared" si="6"/>
        <v>8.8333333333333446</v>
      </c>
      <c r="E33" s="42">
        <f t="shared" si="7"/>
        <v>1.708008</v>
      </c>
      <c r="G33" s="13">
        <v>0</v>
      </c>
      <c r="H33" s="43">
        <f t="shared" si="9"/>
        <v>43.203009149184879</v>
      </c>
      <c r="I33" s="43"/>
      <c r="J33" s="117"/>
      <c r="K33" s="44">
        <f t="shared" si="10"/>
        <v>216.0150457459244</v>
      </c>
      <c r="L33" s="41">
        <f t="shared" si="0"/>
        <v>39.191561918135186</v>
      </c>
      <c r="M33" s="41"/>
      <c r="N33" s="43">
        <f>'Gain-Sub-Exp'!$D$19*E33^2/$T$2</f>
        <v>64.128033331224856</v>
      </c>
      <c r="O33" s="44">
        <f t="shared" si="11"/>
        <v>1.0688005555204143</v>
      </c>
      <c r="Q33" s="44">
        <f>('Gain-Sub-Exp'!O37)</f>
        <v>56.137695372721005</v>
      </c>
      <c r="R33" s="44">
        <f t="shared" si="1"/>
        <v>0.30587589285074723</v>
      </c>
      <c r="S33" s="44"/>
      <c r="T33" s="43">
        <f t="shared" si="12"/>
        <v>29.17291328064</v>
      </c>
      <c r="U33" s="44">
        <f t="shared" si="13"/>
        <v>10</v>
      </c>
      <c r="W33" s="43">
        <f t="shared" si="14"/>
        <v>734.56546941052898</v>
      </c>
      <c r="X33" s="44">
        <f t="shared" si="15"/>
        <v>5.6917554850463095</v>
      </c>
      <c r="Y33" s="44">
        <f t="shared" si="2"/>
        <v>7.0359475811778198</v>
      </c>
      <c r="Z33" s="44"/>
      <c r="AA33" s="44">
        <f t="shared" si="3"/>
        <v>0.75965945042000871</v>
      </c>
      <c r="AC33" s="43">
        <f t="shared" si="16"/>
        <v>6055.9276768531863</v>
      </c>
      <c r="AE33" s="45">
        <f t="shared" si="17"/>
        <v>9.9173225496346564</v>
      </c>
      <c r="AG33" s="45">
        <f t="shared" si="4"/>
        <v>1.3342238827984376</v>
      </c>
      <c r="AI33" s="46"/>
      <c r="AJ33" s="46"/>
    </row>
    <row r="34" spans="1:36" x14ac:dyDescent="0.35">
      <c r="A34" s="31">
        <f t="shared" si="18"/>
        <v>270</v>
      </c>
      <c r="B34" s="40">
        <f t="shared" si="5"/>
        <v>0.1616994603586486</v>
      </c>
      <c r="C34" s="41">
        <f t="shared" si="19"/>
        <v>718.15709844795936</v>
      </c>
      <c r="D34" s="42">
        <f t="shared" si="6"/>
        <v>8.7000000000000117</v>
      </c>
      <c r="E34" s="42">
        <f t="shared" si="7"/>
        <v>1.6999770000000001</v>
      </c>
      <c r="G34" s="13">
        <v>0</v>
      </c>
      <c r="H34" s="43">
        <f t="shared" si="9"/>
        <v>46.335580767301551</v>
      </c>
      <c r="I34" s="43"/>
      <c r="J34" s="117"/>
      <c r="K34" s="44">
        <f t="shared" si="10"/>
        <v>231.67790383650777</v>
      </c>
      <c r="L34" s="41">
        <f t="shared" si="0"/>
        <v>37.462192027386187</v>
      </c>
      <c r="M34" s="41"/>
      <c r="N34" s="43">
        <f>'Gain-Sub-Exp'!$D$19*E34^2/$T$2</f>
        <v>63.526395107047534</v>
      </c>
      <c r="O34" s="44">
        <f t="shared" si="11"/>
        <v>1.0587732517841255</v>
      </c>
      <c r="Q34" s="44">
        <f>('Gain-Sub-Exp'!O38)</f>
        <v>56.669357578588951</v>
      </c>
      <c r="R34" s="44">
        <f t="shared" si="1"/>
        <v>0.30300621761771973</v>
      </c>
      <c r="S34" s="44"/>
      <c r="T34" s="43">
        <f t="shared" si="12"/>
        <v>28.899218005290003</v>
      </c>
      <c r="U34" s="44">
        <f t="shared" si="13"/>
        <v>10</v>
      </c>
      <c r="W34" s="43">
        <f t="shared" si="14"/>
        <v>651.49268219766543</v>
      </c>
      <c r="X34" s="44">
        <f t="shared" si="15"/>
        <v>5.6649930294252551</v>
      </c>
      <c r="Y34" s="44">
        <f t="shared" si="2"/>
        <v>6.8690338736901717</v>
      </c>
      <c r="Z34" s="44"/>
      <c r="AA34" s="44">
        <f t="shared" si="3"/>
        <v>0.75253245557877324</v>
      </c>
      <c r="AC34" s="43">
        <f t="shared" si="16"/>
        <v>6596.3773635293592</v>
      </c>
      <c r="AE34" s="45">
        <f t="shared" si="17"/>
        <v>9.7577794542178715</v>
      </c>
      <c r="AG34" s="45">
        <f t="shared" si="4"/>
        <v>1.3342238827984378</v>
      </c>
      <c r="AI34" s="46"/>
      <c r="AJ34" s="46"/>
    </row>
    <row r="36" spans="1:36" ht="15" customHeight="1" x14ac:dyDescent="0.35">
      <c r="A36" s="171" t="s">
        <v>45</v>
      </c>
      <c r="B36" s="172"/>
      <c r="C36" s="172"/>
      <c r="D36" s="172"/>
      <c r="E36" s="172"/>
      <c r="F36" s="172"/>
      <c r="G36" s="172"/>
      <c r="H36" s="173"/>
      <c r="I36" s="47"/>
      <c r="J36" s="104"/>
      <c r="Y36" s="33"/>
    </row>
    <row r="37" spans="1:36" ht="15" customHeight="1" x14ac:dyDescent="0.35">
      <c r="A37" s="161" t="s">
        <v>46</v>
      </c>
      <c r="B37" s="162"/>
      <c r="C37" s="162"/>
      <c r="D37" s="162"/>
      <c r="E37" s="162"/>
      <c r="F37" s="162"/>
      <c r="G37" s="162"/>
      <c r="H37" s="163"/>
      <c r="I37" s="48"/>
      <c r="J37" s="103"/>
      <c r="Y37" s="33"/>
    </row>
    <row r="38" spans="1:36" ht="15" customHeight="1" x14ac:dyDescent="0.35">
      <c r="A38" s="161"/>
      <c r="B38" s="162"/>
      <c r="C38" s="162"/>
      <c r="D38" s="162"/>
      <c r="E38" s="162"/>
      <c r="F38" s="162"/>
      <c r="G38" s="162"/>
      <c r="H38" s="163"/>
      <c r="I38" s="48"/>
      <c r="J38" s="103"/>
      <c r="Y38" s="33"/>
    </row>
    <row r="39" spans="1:36" ht="15" customHeight="1" x14ac:dyDescent="0.35">
      <c r="A39" s="161" t="s">
        <v>47</v>
      </c>
      <c r="B39" s="162"/>
      <c r="C39" s="162"/>
      <c r="D39" s="162"/>
      <c r="E39" s="162"/>
      <c r="F39" s="162"/>
      <c r="G39" s="162"/>
      <c r="H39" s="163"/>
      <c r="I39" s="48"/>
      <c r="J39" s="103"/>
      <c r="Y39" s="33"/>
    </row>
    <row r="40" spans="1:36" ht="15" customHeight="1" x14ac:dyDescent="0.35">
      <c r="A40" s="161"/>
      <c r="B40" s="162"/>
      <c r="C40" s="162"/>
      <c r="D40" s="162"/>
      <c r="E40" s="162"/>
      <c r="F40" s="162"/>
      <c r="G40" s="162"/>
      <c r="H40" s="163"/>
      <c r="I40" s="48"/>
      <c r="J40" s="103"/>
      <c r="Y40" s="33"/>
    </row>
    <row r="41" spans="1:36" ht="15.75" customHeight="1" x14ac:dyDescent="0.35">
      <c r="A41" s="161" t="s">
        <v>48</v>
      </c>
      <c r="B41" s="162"/>
      <c r="C41" s="162"/>
      <c r="D41" s="162"/>
      <c r="E41" s="162"/>
      <c r="F41" s="162"/>
      <c r="G41" s="162"/>
      <c r="H41" s="163"/>
      <c r="I41" s="48"/>
      <c r="J41" s="103"/>
      <c r="Y41" s="33"/>
    </row>
    <row r="42" spans="1:36" ht="15.75" customHeight="1" x14ac:dyDescent="0.35">
      <c r="A42" s="161"/>
      <c r="B42" s="162"/>
      <c r="C42" s="162"/>
      <c r="D42" s="162"/>
      <c r="E42" s="162"/>
      <c r="F42" s="162"/>
      <c r="G42" s="162"/>
      <c r="H42" s="163"/>
      <c r="I42" s="48"/>
      <c r="J42" s="103"/>
      <c r="Y42" s="33"/>
    </row>
    <row r="43" spans="1:36" ht="15.75" customHeight="1" x14ac:dyDescent="0.35">
      <c r="A43" s="161" t="s">
        <v>49</v>
      </c>
      <c r="B43" s="162"/>
      <c r="C43" s="162"/>
      <c r="D43" s="162"/>
      <c r="E43" s="162"/>
      <c r="F43" s="162"/>
      <c r="G43" s="162"/>
      <c r="H43" s="163"/>
      <c r="I43" s="48"/>
      <c r="J43" s="103"/>
      <c r="Y43" s="33"/>
    </row>
    <row r="44" spans="1:36" ht="15.75" customHeight="1" x14ac:dyDescent="0.45">
      <c r="A44" s="161" t="s">
        <v>50</v>
      </c>
      <c r="B44" s="162"/>
      <c r="C44" s="162"/>
      <c r="D44" s="162"/>
      <c r="E44" s="162"/>
      <c r="F44" s="162"/>
      <c r="G44" s="162"/>
      <c r="H44" s="163"/>
      <c r="I44" s="48"/>
      <c r="J44" s="103"/>
      <c r="Y44" s="33"/>
    </row>
    <row r="45" spans="1:36" ht="15.75" customHeight="1" x14ac:dyDescent="0.35">
      <c r="A45" s="161"/>
      <c r="B45" s="162"/>
      <c r="C45" s="162"/>
      <c r="D45" s="162"/>
      <c r="E45" s="162"/>
      <c r="F45" s="162"/>
      <c r="G45" s="162"/>
      <c r="H45" s="163"/>
      <c r="I45" s="48"/>
      <c r="J45" s="103"/>
      <c r="Y45" s="33"/>
    </row>
    <row r="46" spans="1:36" x14ac:dyDescent="0.35">
      <c r="A46" s="161" t="s">
        <v>51</v>
      </c>
      <c r="B46" s="162"/>
      <c r="C46" s="162"/>
      <c r="D46" s="162"/>
      <c r="E46" s="162"/>
      <c r="F46" s="162"/>
      <c r="G46" s="162"/>
      <c r="H46" s="163"/>
      <c r="I46" s="48"/>
      <c r="J46" s="103"/>
    </row>
    <row r="47" spans="1:36" ht="16.5" x14ac:dyDescent="0.45">
      <c r="A47" s="161" t="s">
        <v>52</v>
      </c>
      <c r="B47" s="162"/>
      <c r="C47" s="162"/>
      <c r="D47" s="162"/>
      <c r="E47" s="162"/>
      <c r="F47" s="162"/>
      <c r="G47" s="162"/>
      <c r="H47" s="163"/>
      <c r="I47" s="48"/>
      <c r="J47" s="103"/>
    </row>
    <row r="48" spans="1:36" x14ac:dyDescent="0.35">
      <c r="A48" s="164"/>
      <c r="B48" s="165"/>
      <c r="C48" s="165"/>
      <c r="D48" s="165"/>
      <c r="E48" s="165"/>
      <c r="F48" s="165"/>
      <c r="G48" s="165"/>
      <c r="H48" s="166"/>
      <c r="I48" s="47"/>
      <c r="J48" s="104"/>
    </row>
    <row r="49" spans="1:10" ht="16.5" x14ac:dyDescent="0.35">
      <c r="A49" s="167" t="s">
        <v>53</v>
      </c>
      <c r="B49" s="168"/>
      <c r="C49" s="168"/>
      <c r="D49" s="168"/>
      <c r="E49" s="168"/>
      <c r="F49" s="168"/>
      <c r="G49" s="168"/>
      <c r="H49" s="169"/>
      <c r="I49" s="48"/>
      <c r="J49" s="103"/>
    </row>
  </sheetData>
  <mergeCells count="15">
    <mergeCell ref="A40:H40"/>
    <mergeCell ref="A2:H2"/>
    <mergeCell ref="A36:H36"/>
    <mergeCell ref="A37:H37"/>
    <mergeCell ref="A38:H38"/>
    <mergeCell ref="A39:H39"/>
    <mergeCell ref="A47:H47"/>
    <mergeCell ref="A48:H48"/>
    <mergeCell ref="A49:H49"/>
    <mergeCell ref="A41:H41"/>
    <mergeCell ref="A42:H42"/>
    <mergeCell ref="A43:H43"/>
    <mergeCell ref="A44:H44"/>
    <mergeCell ref="A45:H45"/>
    <mergeCell ref="A46:H4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9"/>
  <sheetViews>
    <sheetView workbookViewId="0">
      <selection activeCell="B29" sqref="B29"/>
    </sheetView>
  </sheetViews>
  <sheetFormatPr defaultRowHeight="14.5" x14ac:dyDescent="0.35"/>
  <cols>
    <col min="3" max="3" width="9.1796875" style="13"/>
  </cols>
  <sheetData>
    <row r="1" spans="1:3" ht="29" x14ac:dyDescent="0.35">
      <c r="A1" s="36" t="s">
        <v>25</v>
      </c>
      <c r="B1" s="39" t="s">
        <v>108</v>
      </c>
      <c r="C1" s="89" t="s">
        <v>27</v>
      </c>
    </row>
    <row r="2" spans="1:3" x14ac:dyDescent="0.35">
      <c r="A2" s="90">
        <v>1E-4</v>
      </c>
      <c r="B2" s="84">
        <f>7*EXP(0.007*A2)</f>
        <v>7.0000049000017155</v>
      </c>
      <c r="C2" s="13">
        <v>15000</v>
      </c>
    </row>
    <row r="3" spans="1:3" x14ac:dyDescent="0.35">
      <c r="A3" s="90">
        <f>A2+10</f>
        <v>10.0001</v>
      </c>
      <c r="B3" s="84">
        <f t="shared" ref="B3:B29" si="0">7*EXP(0.007*A3)</f>
        <v>7.5075625240714432</v>
      </c>
    </row>
    <row r="4" spans="1:3" x14ac:dyDescent="0.35">
      <c r="A4" s="90">
        <f t="shared" ref="A4:A29" si="1">A3+10</f>
        <v>20.0001</v>
      </c>
      <c r="B4" s="84">
        <f t="shared" si="0"/>
        <v>8.0519222283441785</v>
      </c>
    </row>
    <row r="5" spans="1:3" x14ac:dyDescent="0.35">
      <c r="A5" s="90">
        <f t="shared" si="1"/>
        <v>30.0001</v>
      </c>
      <c r="B5" s="84">
        <f t="shared" si="0"/>
        <v>8.6357524647218114</v>
      </c>
    </row>
    <row r="6" spans="1:3" x14ac:dyDescent="0.35">
      <c r="A6" s="90">
        <f t="shared" si="1"/>
        <v>40.000100000000003</v>
      </c>
      <c r="B6" s="84">
        <f t="shared" si="0"/>
        <v>9.2619151697004085</v>
      </c>
    </row>
    <row r="7" spans="1:3" x14ac:dyDescent="0.35">
      <c r="A7" s="90">
        <f t="shared" si="1"/>
        <v>50.000100000000003</v>
      </c>
      <c r="B7" s="84">
        <f t="shared" si="0"/>
        <v>9.9334797935862227</v>
      </c>
      <c r="C7" s="13">
        <v>8500</v>
      </c>
    </row>
    <row r="8" spans="1:3" x14ac:dyDescent="0.35">
      <c r="A8" s="90">
        <f t="shared" si="1"/>
        <v>60.000100000000003</v>
      </c>
      <c r="B8" s="84">
        <f t="shared" si="0"/>
        <v>10.653738346944669</v>
      </c>
    </row>
    <row r="9" spans="1:3" x14ac:dyDescent="0.35">
      <c r="A9" s="90">
        <f t="shared" si="1"/>
        <v>70.000100000000003</v>
      </c>
      <c r="B9" s="84">
        <f t="shared" si="0"/>
        <v>11.426221538039929</v>
      </c>
    </row>
    <row r="10" spans="1:3" x14ac:dyDescent="0.35">
      <c r="A10" s="90">
        <f t="shared" si="1"/>
        <v>80.000100000000003</v>
      </c>
      <c r="B10" s="84">
        <f t="shared" si="0"/>
        <v>12.254716080370962</v>
      </c>
    </row>
    <row r="11" spans="1:3" x14ac:dyDescent="0.35">
      <c r="A11" s="90">
        <f t="shared" si="1"/>
        <v>90.000100000000003</v>
      </c>
      <c r="B11" s="84">
        <f t="shared" si="0"/>
        <v>13.143283255145462</v>
      </c>
    </row>
    <row r="12" spans="1:3" x14ac:dyDescent="0.35">
      <c r="A12" s="90">
        <f t="shared" si="1"/>
        <v>100.0001</v>
      </c>
      <c r="B12" s="84">
        <f t="shared" si="0"/>
        <v>14.096278819685057</v>
      </c>
      <c r="C12" s="13">
        <v>4800</v>
      </c>
    </row>
    <row r="13" spans="1:3" x14ac:dyDescent="0.35">
      <c r="A13" s="90">
        <f t="shared" si="1"/>
        <v>110.0001</v>
      </c>
      <c r="B13" s="84">
        <f t="shared" si="0"/>
        <v>15.118374359352753</v>
      </c>
    </row>
    <row r="14" spans="1:3" x14ac:dyDescent="0.35">
      <c r="A14" s="90">
        <f t="shared" si="1"/>
        <v>120.0001</v>
      </c>
      <c r="B14" s="84">
        <f t="shared" si="0"/>
        <v>16.214580187669799</v>
      </c>
    </row>
    <row r="15" spans="1:3" x14ac:dyDescent="0.35">
      <c r="A15" s="90">
        <f t="shared" si="1"/>
        <v>130.0001</v>
      </c>
      <c r="B15" s="84">
        <f t="shared" si="0"/>
        <v>17.390269906878387</v>
      </c>
    </row>
    <row r="16" spans="1:3" x14ac:dyDescent="0.35">
      <c r="A16" s="90">
        <f t="shared" si="1"/>
        <v>140.0001</v>
      </c>
      <c r="B16" s="84">
        <f t="shared" si="0"/>
        <v>18.651206749346073</v>
      </c>
    </row>
    <row r="17" spans="1:3" x14ac:dyDescent="0.35">
      <c r="A17" s="90">
        <f t="shared" si="1"/>
        <v>150.0001</v>
      </c>
      <c r="B17" s="84">
        <f t="shared" si="0"/>
        <v>20.003571828937524</v>
      </c>
      <c r="C17" s="13">
        <v>2700</v>
      </c>
    </row>
    <row r="18" spans="1:3" x14ac:dyDescent="0.35">
      <c r="A18" s="90">
        <f t="shared" si="1"/>
        <v>160.0001</v>
      </c>
      <c r="B18" s="84">
        <f t="shared" si="0"/>
        <v>21.453994440841868</v>
      </c>
    </row>
    <row r="19" spans="1:3" x14ac:dyDescent="0.35">
      <c r="A19" s="90">
        <f t="shared" si="1"/>
        <v>170.0001</v>
      </c>
      <c r="B19" s="84">
        <f t="shared" si="0"/>
        <v>23.009584558385384</v>
      </c>
    </row>
    <row r="20" spans="1:3" x14ac:dyDescent="0.35">
      <c r="A20" s="83">
        <v>180</v>
      </c>
      <c r="B20" s="84">
        <f t="shared" si="0"/>
        <v>24.677950411557678</v>
      </c>
    </row>
    <row r="21" spans="1:3" x14ac:dyDescent="0.35">
      <c r="A21" s="83">
        <v>190</v>
      </c>
      <c r="B21" s="84">
        <f t="shared" si="0"/>
        <v>26.467303712981469</v>
      </c>
    </row>
    <row r="22" spans="1:3" x14ac:dyDescent="0.35">
      <c r="A22" s="83">
        <v>200</v>
      </c>
      <c r="B22" s="84">
        <f t="shared" si="0"/>
        <v>28.386399767912728</v>
      </c>
      <c r="C22" s="13">
        <v>1500</v>
      </c>
    </row>
    <row r="23" spans="1:3" x14ac:dyDescent="0.35">
      <c r="A23" s="83">
        <f t="shared" si="1"/>
        <v>210</v>
      </c>
      <c r="B23" s="84">
        <f t="shared" si="0"/>
        <v>30.444645987439188</v>
      </c>
    </row>
    <row r="24" spans="1:3" x14ac:dyDescent="0.35">
      <c r="A24" s="83">
        <f t="shared" si="1"/>
        <v>220</v>
      </c>
      <c r="B24" s="84">
        <f t="shared" si="0"/>
        <v>32.652131896916877</v>
      </c>
    </row>
    <row r="25" spans="1:3" x14ac:dyDescent="0.35">
      <c r="A25" s="83">
        <f t="shared" si="1"/>
        <v>230</v>
      </c>
      <c r="B25" s="84">
        <f t="shared" si="0"/>
        <v>35.019678594835113</v>
      </c>
    </row>
    <row r="26" spans="1:3" x14ac:dyDescent="0.35">
      <c r="A26" s="83">
        <f t="shared" si="1"/>
        <v>240</v>
      </c>
      <c r="B26" s="84">
        <f t="shared" si="0"/>
        <v>37.558891797853818</v>
      </c>
    </row>
    <row r="27" spans="1:3" x14ac:dyDescent="0.35">
      <c r="A27" s="83">
        <f t="shared" si="1"/>
        <v>250</v>
      </c>
      <c r="B27" s="84">
        <f t="shared" si="0"/>
        <v>40.282218732040114</v>
      </c>
      <c r="C27" s="13">
        <v>900</v>
      </c>
    </row>
    <row r="28" spans="1:3" x14ac:dyDescent="0.35">
      <c r="A28" s="83">
        <f t="shared" si="1"/>
        <v>260</v>
      </c>
      <c r="B28" s="84">
        <f t="shared" si="0"/>
        <v>43.203009149184879</v>
      </c>
    </row>
    <row r="29" spans="1:3" x14ac:dyDescent="0.35">
      <c r="A29" s="83">
        <f t="shared" si="1"/>
        <v>270</v>
      </c>
      <c r="B29" s="84">
        <f t="shared" si="0"/>
        <v>46.335580767301551</v>
      </c>
      <c r="C29" s="13">
        <v>750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Gain-Sub-Exp</vt:lpstr>
      <vt:lpstr>Filters</vt:lpstr>
      <vt:lpstr>Skyflux</vt:lpstr>
      <vt:lpstr>ASI183-specs-DR-SNR</vt:lpstr>
      <vt:lpstr>Offset-FWC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Bellavia, Steven</dc:creator>
  <cp:lastModifiedBy>Bellavia, Steven</cp:lastModifiedBy>
  <dcterms:created xsi:type="dcterms:W3CDTF">2018-08-21T15:42:24Z</dcterms:created>
  <dcterms:modified xsi:type="dcterms:W3CDTF">2021-05-04T16:41:56Z</dcterms:modified>
</cp:coreProperties>
</file>