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via\Documents\AP\ZWO_Gain-SubExposure\"/>
    </mc:Choice>
  </mc:AlternateContent>
  <xr:revisionPtr revIDLastSave="0" documentId="8_{EE34A04D-2BEB-4BE1-9CB9-65337C0193D2}" xr6:coauthVersionLast="46" xr6:coauthVersionMax="46" xr10:uidLastSave="{00000000-0000-0000-0000-000000000000}"/>
  <bookViews>
    <workbookView xWindow="360" yWindow="120" windowWidth="18710" windowHeight="9890" xr2:uid="{00000000-000D-0000-FFFF-FFFF00000000}"/>
  </bookViews>
  <sheets>
    <sheet name="Gain-Sub-Exp" sheetId="5" r:id="rId1"/>
    <sheet name="Filters" sheetId="13" r:id="rId2"/>
    <sheet name="Skyflux" sheetId="3" r:id="rId3"/>
    <sheet name="ASI294-BIN-1specs" sheetId="4" r:id="rId4"/>
    <sheet name="ANDY-data" sheetId="8" r:id="rId5"/>
    <sheet name="FWC" sheetId="9" r:id="rId6"/>
    <sheet name="Gain" sheetId="10" r:id="rId7"/>
    <sheet name="DR" sheetId="11" r:id="rId8"/>
    <sheet name="Read Noise" sheetId="12" r:id="rId9"/>
    <sheet name="Offset" sheetId="7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5" l="1"/>
  <c r="D14" i="5"/>
  <c r="B10" i="13"/>
  <c r="E5" i="4" l="1"/>
  <c r="D5" i="4"/>
  <c r="B5" i="4"/>
  <c r="C5" i="4"/>
  <c r="H15" i="5" l="1"/>
  <c r="H14" i="5"/>
  <c r="H13" i="5"/>
  <c r="D10" i="5" l="1"/>
  <c r="D31" i="5" l="1"/>
  <c r="D24" i="5"/>
  <c r="D32" i="5" l="1"/>
  <c r="AC2" i="4" s="1"/>
  <c r="C46" i="5" l="1"/>
  <c r="C45" i="5"/>
  <c r="C44" i="5"/>
  <c r="C43" i="5"/>
  <c r="C42" i="5"/>
  <c r="C41" i="5"/>
  <c r="C40" i="5"/>
  <c r="C39" i="5"/>
  <c r="C38" i="5"/>
  <c r="C37" i="5"/>
  <c r="H32" i="5" l="1"/>
  <c r="H25" i="5" l="1"/>
  <c r="J25" i="5" s="1"/>
  <c r="H24" i="5"/>
  <c r="J24" i="5" s="1"/>
  <c r="M10" i="5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A6" i="4"/>
  <c r="E6" i="4" l="1"/>
  <c r="D6" i="4"/>
  <c r="B6" i="4"/>
  <c r="C6" i="4"/>
  <c r="A7" i="4"/>
  <c r="M30" i="5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E7" i="4" l="1"/>
  <c r="D7" i="4"/>
  <c r="B7" i="4"/>
  <c r="C7" i="4"/>
  <c r="A8" i="4"/>
  <c r="C25" i="3"/>
  <c r="C22" i="3"/>
  <c r="E8" i="4" l="1"/>
  <c r="C8" i="4"/>
  <c r="D8" i="4"/>
  <c r="B8" i="4"/>
  <c r="A9" i="4"/>
  <c r="C24" i="3"/>
  <c r="I5" i="4"/>
  <c r="J5" i="4" s="1"/>
  <c r="B9" i="4" l="1"/>
  <c r="E9" i="4"/>
  <c r="D9" i="4"/>
  <c r="C9" i="4"/>
  <c r="A10" i="4"/>
  <c r="I6" i="4"/>
  <c r="J6" i="4" s="1"/>
  <c r="C23" i="3"/>
  <c r="C10" i="4" l="1"/>
  <c r="E10" i="4"/>
  <c r="D10" i="4"/>
  <c r="B10" i="4"/>
  <c r="A11" i="4"/>
  <c r="I7" i="4"/>
  <c r="J7" i="4" s="1"/>
  <c r="I8" i="4"/>
  <c r="B11" i="4" l="1"/>
  <c r="C11" i="4"/>
  <c r="E11" i="4"/>
  <c r="D11" i="4"/>
  <c r="A12" i="4"/>
  <c r="I9" i="4"/>
  <c r="J8" i="4"/>
  <c r="D12" i="4" l="1"/>
  <c r="B12" i="4"/>
  <c r="C12" i="4"/>
  <c r="E12" i="4"/>
  <c r="A13" i="4"/>
  <c r="J9" i="4"/>
  <c r="I10" i="4"/>
  <c r="E13" i="4" l="1"/>
  <c r="D13" i="4"/>
  <c r="B13" i="4"/>
  <c r="C13" i="4"/>
  <c r="A14" i="4"/>
  <c r="I11" i="4"/>
  <c r="J10" i="4"/>
  <c r="E14" i="4" l="1"/>
  <c r="D14" i="4"/>
  <c r="B14" i="4"/>
  <c r="C14" i="4"/>
  <c r="A15" i="4"/>
  <c r="I12" i="4"/>
  <c r="J11" i="4"/>
  <c r="E15" i="4" l="1"/>
  <c r="D15" i="4"/>
  <c r="B15" i="4"/>
  <c r="C15" i="4"/>
  <c r="A16" i="4"/>
  <c r="J12" i="4"/>
  <c r="I13" i="4"/>
  <c r="C16" i="4" l="1"/>
  <c r="E16" i="4"/>
  <c r="D16" i="4"/>
  <c r="B16" i="4"/>
  <c r="A17" i="4"/>
  <c r="I14" i="4"/>
  <c r="J13" i="4"/>
  <c r="E17" i="4" l="1"/>
  <c r="D17" i="4"/>
  <c r="B17" i="4"/>
  <c r="C17" i="4"/>
  <c r="A18" i="4"/>
  <c r="I17" i="4"/>
  <c r="I15" i="4"/>
  <c r="J14" i="4"/>
  <c r="C18" i="4" l="1"/>
  <c r="E18" i="4"/>
  <c r="D18" i="4"/>
  <c r="B18" i="4"/>
  <c r="A19" i="4"/>
  <c r="I18" i="4"/>
  <c r="I16" i="4"/>
  <c r="J15" i="4"/>
  <c r="B19" i="4" l="1"/>
  <c r="C19" i="4"/>
  <c r="E19" i="4"/>
  <c r="D19" i="4"/>
  <c r="A20" i="4"/>
  <c r="J16" i="4"/>
  <c r="D20" i="4" l="1"/>
  <c r="B20" i="4"/>
  <c r="C20" i="4"/>
  <c r="E20" i="4"/>
  <c r="A21" i="4"/>
  <c r="J17" i="4"/>
  <c r="E21" i="4" l="1"/>
  <c r="D21" i="4"/>
  <c r="B21" i="4"/>
  <c r="C21" i="4"/>
  <c r="A22" i="4"/>
  <c r="I21" i="4"/>
  <c r="I19" i="4"/>
  <c r="J18" i="4"/>
  <c r="E22" i="4" l="1"/>
  <c r="D22" i="4"/>
  <c r="B22" i="4"/>
  <c r="C22" i="4"/>
  <c r="J21" i="4"/>
  <c r="A23" i="4"/>
  <c r="I22" i="4"/>
  <c r="I20" i="4"/>
  <c r="J19" i="4"/>
  <c r="E23" i="4" l="1"/>
  <c r="D23" i="4"/>
  <c r="B23" i="4"/>
  <c r="C23" i="4"/>
  <c r="J22" i="4"/>
  <c r="A24" i="4"/>
  <c r="I23" i="4"/>
  <c r="J20" i="4"/>
  <c r="E24" i="4" l="1"/>
  <c r="D24" i="4"/>
  <c r="B24" i="4"/>
  <c r="C24" i="4"/>
  <c r="J23" i="4"/>
  <c r="A25" i="4"/>
  <c r="I24" i="4"/>
  <c r="E25" i="4" l="1"/>
  <c r="D25" i="4"/>
  <c r="C25" i="4"/>
  <c r="B25" i="4"/>
  <c r="J24" i="4"/>
  <c r="A26" i="4"/>
  <c r="I25" i="4"/>
  <c r="H20" i="5"/>
  <c r="H21" i="5"/>
  <c r="C26" i="4" l="1"/>
  <c r="D26" i="4"/>
  <c r="E26" i="4"/>
  <c r="B26" i="4"/>
  <c r="I25" i="5"/>
  <c r="K25" i="5" s="1"/>
  <c r="H27" i="5" s="1"/>
  <c r="I24" i="5"/>
  <c r="K24" i="5" s="1"/>
  <c r="D12" i="5" s="1"/>
  <c r="P2" i="4" s="1"/>
  <c r="J25" i="4"/>
  <c r="A27" i="4"/>
  <c r="I26" i="4"/>
  <c r="B27" i="4" l="1"/>
  <c r="E27" i="4"/>
  <c r="D27" i="4"/>
  <c r="C27" i="4"/>
  <c r="J26" i="4"/>
  <c r="A28" i="4"/>
  <c r="I27" i="4"/>
  <c r="H30" i="5"/>
  <c r="H29" i="5"/>
  <c r="H34" i="5" s="1"/>
  <c r="D6" i="5" s="1"/>
  <c r="D26" i="5" s="1"/>
  <c r="D27" i="5" s="1"/>
  <c r="D28" i="5" s="1"/>
  <c r="D28" i="4" l="1"/>
  <c r="C28" i="4"/>
  <c r="E28" i="4"/>
  <c r="B28" i="4"/>
  <c r="J27" i="4"/>
  <c r="B18" i="3"/>
  <c r="A29" i="4"/>
  <c r="I28" i="4"/>
  <c r="E29" i="4" l="1"/>
  <c r="C29" i="4"/>
  <c r="B29" i="4"/>
  <c r="D29" i="4"/>
  <c r="J28" i="4"/>
  <c r="A30" i="4"/>
  <c r="I29" i="4"/>
  <c r="B20" i="3"/>
  <c r="C27" i="3" s="1"/>
  <c r="E30" i="4" l="1"/>
  <c r="D30" i="4"/>
  <c r="B30" i="4"/>
  <c r="C30" i="4"/>
  <c r="J29" i="4"/>
  <c r="A31" i="4"/>
  <c r="I30" i="4"/>
  <c r="R2" i="4"/>
  <c r="E31" i="4" l="1"/>
  <c r="D31" i="4"/>
  <c r="B31" i="4"/>
  <c r="C31" i="4"/>
  <c r="L31" i="4"/>
  <c r="L30" i="4"/>
  <c r="R30" i="4" s="1"/>
  <c r="J30" i="4"/>
  <c r="A32" i="4"/>
  <c r="I31" i="4"/>
  <c r="L22" i="4"/>
  <c r="R22" i="4" s="1"/>
  <c r="L10" i="4"/>
  <c r="L18" i="4"/>
  <c r="L7" i="4"/>
  <c r="L21" i="4"/>
  <c r="L16" i="4"/>
  <c r="L9" i="4"/>
  <c r="L23" i="4"/>
  <c r="L11" i="4"/>
  <c r="R11" i="4" s="1"/>
  <c r="L19" i="4"/>
  <c r="L25" i="4"/>
  <c r="R25" i="4" s="1"/>
  <c r="L20" i="4"/>
  <c r="L12" i="4"/>
  <c r="L6" i="4"/>
  <c r="L13" i="4"/>
  <c r="L5" i="4"/>
  <c r="L14" i="4"/>
  <c r="L15" i="4"/>
  <c r="L8" i="4"/>
  <c r="L24" i="4"/>
  <c r="R24" i="4" s="1"/>
  <c r="L17" i="4"/>
  <c r="L26" i="4"/>
  <c r="L27" i="4"/>
  <c r="R27" i="4" s="1"/>
  <c r="L28" i="4"/>
  <c r="R28" i="4" s="1"/>
  <c r="L29" i="4"/>
  <c r="C32" i="4" l="1"/>
  <c r="E32" i="4"/>
  <c r="D32" i="4"/>
  <c r="B32" i="4"/>
  <c r="J31" i="4"/>
  <c r="L32" i="4"/>
  <c r="P30" i="4"/>
  <c r="V30" i="4" s="1"/>
  <c r="M30" i="4"/>
  <c r="S22" i="4"/>
  <c r="S30" i="4"/>
  <c r="R13" i="4"/>
  <c r="M13" i="4"/>
  <c r="N17" i="5" s="1"/>
  <c r="O17" i="5" s="1"/>
  <c r="O13" i="4" s="1"/>
  <c r="P13" i="4"/>
  <c r="P26" i="4"/>
  <c r="M26" i="4"/>
  <c r="R6" i="4"/>
  <c r="P6" i="4"/>
  <c r="M6" i="4"/>
  <c r="N10" i="5" s="1"/>
  <c r="O10" i="5" s="1"/>
  <c r="O6" i="4" s="1"/>
  <c r="R31" i="4"/>
  <c r="P31" i="4"/>
  <c r="M31" i="4"/>
  <c r="S25" i="4"/>
  <c r="R17" i="4"/>
  <c r="P17" i="4"/>
  <c r="M17" i="4"/>
  <c r="N21" i="5" s="1"/>
  <c r="O21" i="5" s="1"/>
  <c r="O17" i="4" s="1"/>
  <c r="R21" i="4"/>
  <c r="P21" i="4"/>
  <c r="M21" i="4"/>
  <c r="N25" i="5" s="1"/>
  <c r="O25" i="5" s="1"/>
  <c r="O21" i="4" s="1"/>
  <c r="S28" i="4"/>
  <c r="M24" i="4"/>
  <c r="N28" i="5" s="1"/>
  <c r="O28" i="5" s="1"/>
  <c r="O24" i="4" s="1"/>
  <c r="P24" i="4"/>
  <c r="U24" i="4" s="1"/>
  <c r="R20" i="4"/>
  <c r="P20" i="4"/>
  <c r="M20" i="4"/>
  <c r="N24" i="5" s="1"/>
  <c r="O24" i="5" s="1"/>
  <c r="O20" i="4" s="1"/>
  <c r="M7" i="4"/>
  <c r="N11" i="5" s="1"/>
  <c r="O11" i="5" s="1"/>
  <c r="O7" i="4" s="1"/>
  <c r="P7" i="4"/>
  <c r="M29" i="4"/>
  <c r="P29" i="4"/>
  <c r="R8" i="4"/>
  <c r="M8" i="4"/>
  <c r="N12" i="5" s="1"/>
  <c r="O12" i="5" s="1"/>
  <c r="O8" i="4" s="1"/>
  <c r="P8" i="4"/>
  <c r="M25" i="4"/>
  <c r="N29" i="5" s="1"/>
  <c r="O29" i="5" s="1"/>
  <c r="O25" i="4" s="1"/>
  <c r="P25" i="4"/>
  <c r="U25" i="4" s="1"/>
  <c r="R18" i="4"/>
  <c r="P18" i="4"/>
  <c r="M18" i="4"/>
  <c r="N22" i="5" s="1"/>
  <c r="O22" i="5" s="1"/>
  <c r="O18" i="4" s="1"/>
  <c r="A33" i="4"/>
  <c r="I32" i="4"/>
  <c r="M28" i="4"/>
  <c r="P28" i="4"/>
  <c r="U28" i="4" s="1"/>
  <c r="S11" i="4"/>
  <c r="R15" i="4"/>
  <c r="M15" i="4"/>
  <c r="N19" i="5" s="1"/>
  <c r="O19" i="5" s="1"/>
  <c r="O15" i="4" s="1"/>
  <c r="P15" i="4"/>
  <c r="R19" i="4"/>
  <c r="P19" i="4"/>
  <c r="M19" i="4"/>
  <c r="N23" i="5" s="1"/>
  <c r="O23" i="5" s="1"/>
  <c r="O19" i="4" s="1"/>
  <c r="R10" i="4"/>
  <c r="P10" i="4"/>
  <c r="M10" i="4"/>
  <c r="N14" i="5" s="1"/>
  <c r="O14" i="5" s="1"/>
  <c r="O10" i="4" s="1"/>
  <c r="P27" i="4"/>
  <c r="U27" i="4" s="1"/>
  <c r="M27" i="4"/>
  <c r="R26" i="4"/>
  <c r="R7" i="4"/>
  <c r="R14" i="4"/>
  <c r="M14" i="4"/>
  <c r="N18" i="5" s="1"/>
  <c r="O18" i="5" s="1"/>
  <c r="O14" i="4" s="1"/>
  <c r="P14" i="4"/>
  <c r="P11" i="4"/>
  <c r="U11" i="4" s="1"/>
  <c r="M11" i="4"/>
  <c r="N15" i="5" s="1"/>
  <c r="O15" i="5" s="1"/>
  <c r="O11" i="4" s="1"/>
  <c r="M22" i="4"/>
  <c r="N26" i="5" s="1"/>
  <c r="O26" i="5" s="1"/>
  <c r="O22" i="4" s="1"/>
  <c r="P22" i="4"/>
  <c r="U22" i="4" s="1"/>
  <c r="R9" i="4"/>
  <c r="P9" i="4"/>
  <c r="M9" i="4"/>
  <c r="N13" i="5" s="1"/>
  <c r="O13" i="5" s="1"/>
  <c r="O9" i="4" s="1"/>
  <c r="S24" i="4"/>
  <c r="R16" i="4"/>
  <c r="P16" i="4"/>
  <c r="M16" i="4"/>
  <c r="N20" i="5" s="1"/>
  <c r="O20" i="5" s="1"/>
  <c r="O16" i="4" s="1"/>
  <c r="R12" i="4"/>
  <c r="P12" i="4"/>
  <c r="M12" i="4"/>
  <c r="N16" i="5" s="1"/>
  <c r="O16" i="5" s="1"/>
  <c r="O12" i="4" s="1"/>
  <c r="S27" i="4"/>
  <c r="R29" i="4"/>
  <c r="R5" i="4"/>
  <c r="M5" i="4"/>
  <c r="N9" i="5" s="1"/>
  <c r="O9" i="5" s="1"/>
  <c r="O5" i="4" s="1"/>
  <c r="P5" i="4"/>
  <c r="R23" i="4"/>
  <c r="M23" i="4"/>
  <c r="N27" i="5" s="1"/>
  <c r="O27" i="5" s="1"/>
  <c r="O23" i="4" s="1"/>
  <c r="P23" i="4"/>
  <c r="B33" i="4" l="1"/>
  <c r="E33" i="4"/>
  <c r="D33" i="4"/>
  <c r="C33" i="4"/>
  <c r="L33" i="4"/>
  <c r="U30" i="4"/>
  <c r="W30" i="4" s="1"/>
  <c r="U9" i="4"/>
  <c r="U8" i="4"/>
  <c r="U31" i="4"/>
  <c r="U12" i="4"/>
  <c r="U23" i="4"/>
  <c r="U5" i="4"/>
  <c r="V24" i="4"/>
  <c r="Y24" i="4" s="1"/>
  <c r="U13" i="4"/>
  <c r="U15" i="4"/>
  <c r="U26" i="4"/>
  <c r="U16" i="4"/>
  <c r="U20" i="4"/>
  <c r="U21" i="4"/>
  <c r="U6" i="4"/>
  <c r="U17" i="4"/>
  <c r="U7" i="4"/>
  <c r="U14" i="4"/>
  <c r="AC22" i="4"/>
  <c r="Q26" i="5" s="1"/>
  <c r="AC7" i="4"/>
  <c r="Q11" i="5" s="1"/>
  <c r="V25" i="4"/>
  <c r="Y25" i="4" s="1"/>
  <c r="AC20" i="4"/>
  <c r="Q24" i="5" s="1"/>
  <c r="AC10" i="4"/>
  <c r="Q14" i="5" s="1"/>
  <c r="AC13" i="4"/>
  <c r="Q17" i="5" s="1"/>
  <c r="U10" i="4"/>
  <c r="J32" i="4"/>
  <c r="AC8" i="4"/>
  <c r="Q12" i="5" s="1"/>
  <c r="S20" i="4"/>
  <c r="V20" i="4"/>
  <c r="Y20" i="4" s="1"/>
  <c r="S21" i="4"/>
  <c r="V21" i="4"/>
  <c r="S31" i="4"/>
  <c r="V31" i="4"/>
  <c r="S13" i="4"/>
  <c r="V13" i="4"/>
  <c r="Y13" i="4" s="1"/>
  <c r="S5" i="4"/>
  <c r="V5" i="4"/>
  <c r="Y5" i="4" s="1"/>
  <c r="M32" i="4"/>
  <c r="P32" i="4"/>
  <c r="R32" i="4"/>
  <c r="S29" i="4"/>
  <c r="V29" i="4"/>
  <c r="S16" i="4"/>
  <c r="V16" i="4"/>
  <c r="Y16" i="4" s="1"/>
  <c r="AC25" i="4"/>
  <c r="Q29" i="5" s="1"/>
  <c r="V27" i="4"/>
  <c r="W27" i="4" s="1"/>
  <c r="S15" i="4"/>
  <c r="V15" i="4"/>
  <c r="Y15" i="4" s="1"/>
  <c r="AC9" i="4"/>
  <c r="Q13" i="5" s="1"/>
  <c r="V11" i="4"/>
  <c r="Y11" i="4" s="1"/>
  <c r="AC17" i="4"/>
  <c r="Q21" i="5" s="1"/>
  <c r="AC6" i="4"/>
  <c r="Q10" i="5" s="1"/>
  <c r="AC11" i="4"/>
  <c r="Q15" i="5" s="1"/>
  <c r="AC15" i="4"/>
  <c r="Q19" i="5" s="1"/>
  <c r="AC21" i="4"/>
  <c r="Q25" i="5" s="1"/>
  <c r="AC23" i="4"/>
  <c r="Q27" i="5" s="1"/>
  <c r="AC12" i="4"/>
  <c r="Q16" i="5" s="1"/>
  <c r="AC14" i="4"/>
  <c r="Q18" i="5" s="1"/>
  <c r="S10" i="4"/>
  <c r="V10" i="4"/>
  <c r="Y10" i="4" s="1"/>
  <c r="A34" i="4"/>
  <c r="I33" i="4"/>
  <c r="J33" i="4" s="1"/>
  <c r="S8" i="4"/>
  <c r="V8" i="4"/>
  <c r="S23" i="4"/>
  <c r="V23" i="4"/>
  <c r="S14" i="4"/>
  <c r="V14" i="4"/>
  <c r="Y14" i="4" s="1"/>
  <c r="AC19" i="4"/>
  <c r="Q23" i="5" s="1"/>
  <c r="AC18" i="4"/>
  <c r="Q22" i="5" s="1"/>
  <c r="U29" i="4"/>
  <c r="AC24" i="4"/>
  <c r="Q28" i="5" s="1"/>
  <c r="S12" i="4"/>
  <c r="V12" i="4"/>
  <c r="Y12" i="4" s="1"/>
  <c r="S9" i="4"/>
  <c r="V9" i="4"/>
  <c r="Y9" i="4" s="1"/>
  <c r="S7" i="4"/>
  <c r="V7" i="4"/>
  <c r="Y7" i="4" s="1"/>
  <c r="U19" i="4"/>
  <c r="U18" i="4"/>
  <c r="V28" i="4"/>
  <c r="W28" i="4" s="1"/>
  <c r="S17" i="4"/>
  <c r="V17" i="4"/>
  <c r="Y17" i="4" s="1"/>
  <c r="S6" i="4"/>
  <c r="V6" i="4"/>
  <c r="Y6" i="4" s="1"/>
  <c r="AC5" i="4"/>
  <c r="Q9" i="5" s="1"/>
  <c r="AC16" i="4"/>
  <c r="Q20" i="5" s="1"/>
  <c r="V26" i="4"/>
  <c r="S26" i="4"/>
  <c r="S19" i="4"/>
  <c r="V19" i="4"/>
  <c r="Y19" i="4" s="1"/>
  <c r="S18" i="4"/>
  <c r="V18" i="4"/>
  <c r="Y18" i="4" s="1"/>
  <c r="V22" i="4"/>
  <c r="Y22" i="4" s="1"/>
  <c r="C34" i="4" l="1"/>
  <c r="D34" i="4"/>
  <c r="E34" i="4"/>
  <c r="B34" i="4"/>
  <c r="W31" i="4"/>
  <c r="AA23" i="4"/>
  <c r="P27" i="5" s="1"/>
  <c r="W24" i="4"/>
  <c r="AA24" i="4"/>
  <c r="P28" i="5" s="1"/>
  <c r="AA16" i="4"/>
  <c r="P20" i="5" s="1"/>
  <c r="AA5" i="4"/>
  <c r="P9" i="5" s="1"/>
  <c r="W14" i="4"/>
  <c r="W25" i="4"/>
  <c r="W7" i="4"/>
  <c r="W16" i="4"/>
  <c r="W17" i="4"/>
  <c r="AA6" i="4"/>
  <c r="P10" i="5" s="1"/>
  <c r="W29" i="4"/>
  <c r="AA18" i="4"/>
  <c r="P22" i="5" s="1"/>
  <c r="AA17" i="4"/>
  <c r="P21" i="5" s="1"/>
  <c r="W22" i="4"/>
  <c r="U32" i="4"/>
  <c r="AA25" i="4"/>
  <c r="P29" i="5" s="1"/>
  <c r="W20" i="4"/>
  <c r="W6" i="4"/>
  <c r="W13" i="4"/>
  <c r="AA13" i="4"/>
  <c r="P17" i="5" s="1"/>
  <c r="W10" i="4"/>
  <c r="W5" i="4"/>
  <c r="W12" i="4"/>
  <c r="W11" i="4"/>
  <c r="W9" i="4"/>
  <c r="AA12" i="4"/>
  <c r="P16" i="5" s="1"/>
  <c r="AA11" i="4"/>
  <c r="P15" i="5" s="1"/>
  <c r="W26" i="4"/>
  <c r="AA20" i="4"/>
  <c r="P24" i="5" s="1"/>
  <c r="V32" i="4"/>
  <c r="S32" i="4"/>
  <c r="W18" i="4"/>
  <c r="A35" i="4"/>
  <c r="I34" i="4"/>
  <c r="L34" i="4"/>
  <c r="W15" i="4"/>
  <c r="AA9" i="4"/>
  <c r="P13" i="5" s="1"/>
  <c r="W23" i="4"/>
  <c r="Y23" i="4"/>
  <c r="W21" i="4"/>
  <c r="Y21" i="4"/>
  <c r="W19" i="4"/>
  <c r="AA19" i="4"/>
  <c r="P23" i="5" s="1"/>
  <c r="W8" i="4"/>
  <c r="Y8" i="4"/>
  <c r="AA21" i="4"/>
  <c r="P25" i="5" s="1"/>
  <c r="AA7" i="4"/>
  <c r="P11" i="5" s="1"/>
  <c r="R33" i="4"/>
  <c r="P33" i="4"/>
  <c r="M33" i="4"/>
  <c r="AA14" i="4"/>
  <c r="P18" i="5" s="1"/>
  <c r="AA15" i="4"/>
  <c r="P19" i="5" s="1"/>
  <c r="AA8" i="4"/>
  <c r="P12" i="5" s="1"/>
  <c r="AA10" i="4"/>
  <c r="P14" i="5" s="1"/>
  <c r="AA22" i="4"/>
  <c r="P26" i="5" s="1"/>
  <c r="B35" i="4" l="1"/>
  <c r="C35" i="4"/>
  <c r="E35" i="4"/>
  <c r="L35" i="4" s="1"/>
  <c r="D35" i="4"/>
  <c r="U33" i="4"/>
  <c r="S33" i="4"/>
  <c r="V33" i="4"/>
  <c r="A36" i="4"/>
  <c r="I35" i="4"/>
  <c r="N34" i="5"/>
  <c r="O34" i="5" s="1"/>
  <c r="O30" i="4" s="1"/>
  <c r="N35" i="5"/>
  <c r="O35" i="5" s="1"/>
  <c r="O31" i="4" s="1"/>
  <c r="N36" i="5"/>
  <c r="O36" i="5" s="1"/>
  <c r="O32" i="4" s="1"/>
  <c r="N31" i="5"/>
  <c r="O31" i="5" s="1"/>
  <c r="O27" i="4" s="1"/>
  <c r="N32" i="5"/>
  <c r="O32" i="5" s="1"/>
  <c r="O28" i="4" s="1"/>
  <c r="N37" i="5"/>
  <c r="O37" i="5" s="1"/>
  <c r="O33" i="4" s="1"/>
  <c r="N30" i="5"/>
  <c r="O30" i="5" s="1"/>
  <c r="O26" i="4" s="1"/>
  <c r="N33" i="5"/>
  <c r="O33" i="5" s="1"/>
  <c r="O29" i="4" s="1"/>
  <c r="W32" i="4"/>
  <c r="J34" i="4"/>
  <c r="M34" i="4"/>
  <c r="N38" i="5" s="1"/>
  <c r="O38" i="5" s="1"/>
  <c r="O34" i="4" s="1"/>
  <c r="P34" i="4"/>
  <c r="R34" i="4"/>
  <c r="D36" i="4" l="1"/>
  <c r="B36" i="4"/>
  <c r="C36" i="4"/>
  <c r="E36" i="4"/>
  <c r="J35" i="4"/>
  <c r="U34" i="4"/>
  <c r="Y33" i="4"/>
  <c r="AC34" i="4"/>
  <c r="Q38" i="5" s="1"/>
  <c r="AA28" i="4"/>
  <c r="P32" i="5" s="1"/>
  <c r="AC28" i="4"/>
  <c r="Q32" i="5" s="1"/>
  <c r="Y28" i="4"/>
  <c r="AA29" i="4"/>
  <c r="P33" i="5" s="1"/>
  <c r="AC29" i="4"/>
  <c r="Q33" i="5" s="1"/>
  <c r="Y29" i="4"/>
  <c r="AC33" i="4"/>
  <c r="Q37" i="5" s="1"/>
  <c r="AA33" i="4"/>
  <c r="P37" i="5" s="1"/>
  <c r="AC31" i="4"/>
  <c r="Q35" i="5" s="1"/>
  <c r="Y31" i="4"/>
  <c r="AA31" i="4"/>
  <c r="P35" i="5" s="1"/>
  <c r="Y30" i="4"/>
  <c r="AA30" i="4"/>
  <c r="P34" i="5" s="1"/>
  <c r="AC30" i="4"/>
  <c r="Q34" i="5" s="1"/>
  <c r="R35" i="4"/>
  <c r="P35" i="4"/>
  <c r="M35" i="4"/>
  <c r="N39" i="5" s="1"/>
  <c r="O39" i="5" s="1"/>
  <c r="O35" i="4" s="1"/>
  <c r="AC27" i="4"/>
  <c r="Q31" i="5" s="1"/>
  <c r="AA27" i="4"/>
  <c r="P31" i="5" s="1"/>
  <c r="Y27" i="4"/>
  <c r="V34" i="4"/>
  <c r="Y34" i="4" s="1"/>
  <c r="S34" i="4"/>
  <c r="AA32" i="4"/>
  <c r="P36" i="5" s="1"/>
  <c r="AC32" i="4"/>
  <c r="Q36" i="5" s="1"/>
  <c r="A37" i="4"/>
  <c r="I36" i="4"/>
  <c r="L36" i="4"/>
  <c r="W33" i="4"/>
  <c r="AA26" i="4"/>
  <c r="P30" i="5" s="1"/>
  <c r="AC26" i="4"/>
  <c r="Q30" i="5" s="1"/>
  <c r="Y26" i="4"/>
  <c r="Y32" i="4"/>
  <c r="E37" i="4" l="1"/>
  <c r="C37" i="4"/>
  <c r="D37" i="4"/>
  <c r="B37" i="4"/>
  <c r="L37" i="4"/>
  <c r="U35" i="4"/>
  <c r="J36" i="4"/>
  <c r="AC35" i="4"/>
  <c r="Q39" i="5" s="1"/>
  <c r="W34" i="4"/>
  <c r="P36" i="4"/>
  <c r="M36" i="4"/>
  <c r="R36" i="4"/>
  <c r="A38" i="4"/>
  <c r="I37" i="4"/>
  <c r="E37" i="5"/>
  <c r="S35" i="4"/>
  <c r="V35" i="4"/>
  <c r="Y35" i="4" s="1"/>
  <c r="AA34" i="4"/>
  <c r="P38" i="5" s="1"/>
  <c r="E38" i="4" l="1"/>
  <c r="D38" i="4"/>
  <c r="B38" i="4"/>
  <c r="C38" i="4"/>
  <c r="S36" i="4"/>
  <c r="V36" i="4"/>
  <c r="M37" i="4"/>
  <c r="P37" i="4"/>
  <c r="R37" i="4"/>
  <c r="U36" i="4"/>
  <c r="J37" i="4"/>
  <c r="E42" i="5"/>
  <c r="E40" i="5"/>
  <c r="E46" i="5"/>
  <c r="E39" i="5"/>
  <c r="E41" i="5"/>
  <c r="E45" i="5"/>
  <c r="E38" i="5"/>
  <c r="E43" i="5"/>
  <c r="E44" i="5"/>
  <c r="D37" i="5"/>
  <c r="D39" i="5"/>
  <c r="D45" i="5"/>
  <c r="D46" i="5"/>
  <c r="D43" i="5"/>
  <c r="D40" i="5"/>
  <c r="D44" i="5"/>
  <c r="D41" i="5"/>
  <c r="D38" i="5"/>
  <c r="D42" i="5"/>
  <c r="W35" i="4"/>
  <c r="A39" i="4"/>
  <c r="I38" i="4"/>
  <c r="L38" i="4"/>
  <c r="AA35" i="4"/>
  <c r="P39" i="5" s="1"/>
  <c r="E39" i="4" l="1"/>
  <c r="D39" i="4"/>
  <c r="B39" i="4"/>
  <c r="C39" i="4"/>
  <c r="W36" i="4"/>
  <c r="U37" i="4"/>
  <c r="V37" i="4"/>
  <c r="S37" i="4"/>
  <c r="R38" i="4"/>
  <c r="M38" i="4"/>
  <c r="P38" i="4"/>
  <c r="A40" i="4"/>
  <c r="I39" i="4"/>
  <c r="L39" i="4"/>
  <c r="J38" i="4"/>
  <c r="C40" i="4" l="1"/>
  <c r="E40" i="4"/>
  <c r="L40" i="4" s="1"/>
  <c r="D40" i="4"/>
  <c r="B40" i="4"/>
  <c r="J39" i="4"/>
  <c r="W37" i="4"/>
  <c r="U38" i="4"/>
  <c r="A41" i="4"/>
  <c r="I40" i="4"/>
  <c r="N41" i="5"/>
  <c r="O41" i="5" s="1"/>
  <c r="O37" i="4" s="1"/>
  <c r="Y37" i="4" s="1"/>
  <c r="N40" i="5"/>
  <c r="O40" i="5" s="1"/>
  <c r="O36" i="4" s="1"/>
  <c r="N42" i="5"/>
  <c r="O42" i="5" s="1"/>
  <c r="O38" i="4" s="1"/>
  <c r="M39" i="4"/>
  <c r="N43" i="5" s="1"/>
  <c r="O43" i="5" s="1"/>
  <c r="O39" i="4" s="1"/>
  <c r="P39" i="4"/>
  <c r="R39" i="4"/>
  <c r="S38" i="4"/>
  <c r="V38" i="4"/>
  <c r="E41" i="4" l="1"/>
  <c r="B41" i="4"/>
  <c r="D41" i="4"/>
  <c r="C41" i="4"/>
  <c r="W38" i="4"/>
  <c r="U39" i="4"/>
  <c r="Y38" i="4"/>
  <c r="AC39" i="4"/>
  <c r="Q43" i="5" s="1"/>
  <c r="AC36" i="4"/>
  <c r="Q40" i="5" s="1"/>
  <c r="AA36" i="4"/>
  <c r="P40" i="5" s="1"/>
  <c r="Y36" i="4"/>
  <c r="AC38" i="4"/>
  <c r="Q42" i="5" s="1"/>
  <c r="AA38" i="4"/>
  <c r="P42" i="5" s="1"/>
  <c r="J40" i="4"/>
  <c r="M40" i="4"/>
  <c r="N44" i="5" s="1"/>
  <c r="O44" i="5" s="1"/>
  <c r="O40" i="4" s="1"/>
  <c r="P40" i="4"/>
  <c r="R40" i="4"/>
  <c r="S39" i="4"/>
  <c r="V39" i="4"/>
  <c r="Y39" i="4" s="1"/>
  <c r="AC37" i="4"/>
  <c r="Q41" i="5" s="1"/>
  <c r="AA37" i="4"/>
  <c r="P41" i="5" s="1"/>
  <c r="A42" i="4"/>
  <c r="I41" i="4"/>
  <c r="L41" i="4"/>
  <c r="C42" i="4" l="1"/>
  <c r="D42" i="4"/>
  <c r="E42" i="4"/>
  <c r="B42" i="4"/>
  <c r="U40" i="4"/>
  <c r="R41" i="4"/>
  <c r="P41" i="4"/>
  <c r="M41" i="4"/>
  <c r="S40" i="4"/>
  <c r="V40" i="4"/>
  <c r="Y40" i="4" s="1"/>
  <c r="J41" i="4"/>
  <c r="AC40" i="4"/>
  <c r="Q44" i="5" s="1"/>
  <c r="W39" i="4"/>
  <c r="A43" i="4"/>
  <c r="I42" i="4"/>
  <c r="L42" i="4"/>
  <c r="AA39" i="4"/>
  <c r="P43" i="5" s="1"/>
  <c r="B43" i="4" l="1"/>
  <c r="C43" i="4"/>
  <c r="E43" i="4"/>
  <c r="L43" i="4" s="1"/>
  <c r="D43" i="4"/>
  <c r="J42" i="4"/>
  <c r="W40" i="4"/>
  <c r="AA40" i="4"/>
  <c r="P44" i="5" s="1"/>
  <c r="U41" i="4"/>
  <c r="A44" i="4"/>
  <c r="I43" i="4"/>
  <c r="N45" i="5"/>
  <c r="O45" i="5" s="1"/>
  <c r="O41" i="4" s="1"/>
  <c r="R42" i="4"/>
  <c r="P42" i="4"/>
  <c r="M42" i="4"/>
  <c r="N46" i="5" s="1"/>
  <c r="O46" i="5" s="1"/>
  <c r="O42" i="4" s="1"/>
  <c r="S41" i="4"/>
  <c r="V41" i="4"/>
  <c r="D44" i="4" l="1"/>
  <c r="B44" i="4"/>
  <c r="C44" i="4"/>
  <c r="E44" i="4"/>
  <c r="J43" i="4"/>
  <c r="L44" i="4"/>
  <c r="W41" i="4"/>
  <c r="U42" i="4"/>
  <c r="AC42" i="4"/>
  <c r="Q46" i="5" s="1"/>
  <c r="AC41" i="4"/>
  <c r="Q45" i="5" s="1"/>
  <c r="AA41" i="4"/>
  <c r="P45" i="5" s="1"/>
  <c r="R43" i="4"/>
  <c r="M43" i="4"/>
  <c r="N47" i="5" s="1"/>
  <c r="O47" i="5" s="1"/>
  <c r="O43" i="4" s="1"/>
  <c r="P43" i="4"/>
  <c r="A45" i="4"/>
  <c r="I44" i="4"/>
  <c r="S42" i="4"/>
  <c r="V42" i="4"/>
  <c r="Y42" i="4" s="1"/>
  <c r="Y41" i="4"/>
  <c r="E45" i="4" l="1"/>
  <c r="D45" i="4"/>
  <c r="B45" i="4"/>
  <c r="C45" i="4"/>
  <c r="L45" i="4"/>
  <c r="U43" i="4"/>
  <c r="AC43" i="4"/>
  <c r="Q47" i="5" s="1"/>
  <c r="M44" i="4"/>
  <c r="N48" i="5" s="1"/>
  <c r="O48" i="5" s="1"/>
  <c r="O44" i="4" s="1"/>
  <c r="P44" i="4"/>
  <c r="R44" i="4"/>
  <c r="S43" i="4"/>
  <c r="V43" i="4"/>
  <c r="J44" i="4"/>
  <c r="I45" i="4"/>
  <c r="W42" i="4"/>
  <c r="AA42" i="4"/>
  <c r="P46" i="5" s="1"/>
  <c r="U44" i="4" l="1"/>
  <c r="W43" i="4"/>
  <c r="Y43" i="4"/>
  <c r="S44" i="4"/>
  <c r="V44" i="4"/>
  <c r="Y44" i="4" s="1"/>
  <c r="AC44" i="4"/>
  <c r="Q48" i="5" s="1"/>
  <c r="P45" i="4"/>
  <c r="M45" i="4"/>
  <c r="N49" i="5" s="1"/>
  <c r="O49" i="5" s="1"/>
  <c r="O45" i="4" s="1"/>
  <c r="R45" i="4"/>
  <c r="J45" i="4"/>
  <c r="AA43" i="4"/>
  <c r="P47" i="5" s="1"/>
  <c r="U45" i="4" l="1"/>
  <c r="AA44" i="4"/>
  <c r="P48" i="5" s="1"/>
  <c r="W44" i="4"/>
  <c r="S45" i="4"/>
  <c r="V45" i="4"/>
  <c r="Y45" i="4" s="1"/>
  <c r="AC45" i="4"/>
  <c r="Q49" i="5" s="1"/>
  <c r="AA45" i="4" l="1"/>
  <c r="P49" i="5" s="1"/>
  <c r="W45" i="4"/>
</calcChain>
</file>

<file path=xl/sharedStrings.xml><?xml version="1.0" encoding="utf-8"?>
<sst xmlns="http://schemas.openxmlformats.org/spreadsheetml/2006/main" count="204" uniqueCount="159">
  <si>
    <t>T</t>
  </si>
  <si>
    <t>e/sec</t>
  </si>
  <si>
    <t>photons/sec/nm/arcsec^2/m^2</t>
  </si>
  <si>
    <t>for a 50%-tile 'dark sky' (20.7 in V-band):</t>
  </si>
  <si>
    <t xml:space="preserve"> wavelength (nm)</t>
  </si>
  <si>
    <t>skyflux (photons/sec/nm/arcsec^2/m^2)</t>
  </si>
  <si>
    <t>wavelength spread</t>
  </si>
  <si>
    <t>nm</t>
  </si>
  <si>
    <t>arc-sec/pixel</t>
  </si>
  <si>
    <t>scope aperture</t>
  </si>
  <si>
    <t>m</t>
  </si>
  <si>
    <t>optical and electronic efficiency</t>
  </si>
  <si>
    <t>re-calcualted skyflux for your sky</t>
  </si>
  <si>
    <t>Enter the skyflux from the table above, based on filter selection (use 550nm for broadband)</t>
  </si>
  <si>
    <t>656 (Ha)</t>
  </si>
  <si>
    <t>500 (OIII)</t>
  </si>
  <si>
    <t>© 2018 S. Bellavia</t>
  </si>
  <si>
    <t>Enter your sky background in Mag/sq-arcsec</t>
  </si>
  <si>
    <t>e/sec per pixel</t>
  </si>
  <si>
    <t>sampling</t>
  </si>
  <si>
    <t>Sky Flux</t>
  </si>
  <si>
    <t>Dark Noise       (e-/sec)</t>
  </si>
  <si>
    <t>Sky fog       (e-/sec)</t>
  </si>
  <si>
    <t>Obj Signal       (e-/sec)</t>
  </si>
  <si>
    <t>Camera Specification/Controls</t>
  </si>
  <si>
    <t>ZWO Gain</t>
  </si>
  <si>
    <t>GADU (e/ADU)</t>
  </si>
  <si>
    <t>FWC</t>
  </si>
  <si>
    <t>DR</t>
  </si>
  <si>
    <t>Read noise</t>
  </si>
  <si>
    <t>ZWO Bias</t>
  </si>
  <si>
    <t>Bias        (e-'s)</t>
  </si>
  <si>
    <t>exposure        (sec)</t>
  </si>
  <si>
    <t>exposure   (min)</t>
  </si>
  <si>
    <t># subs</t>
  </si>
  <si>
    <t>Single Sub Dark noise</t>
  </si>
  <si>
    <t>Single Sub Sky Background</t>
  </si>
  <si>
    <t>Single sub Swamp factor</t>
  </si>
  <si>
    <r>
      <t>FWC</t>
    </r>
    <r>
      <rPr>
        <vertAlign val="subscript"/>
        <sz val="11"/>
        <color theme="1"/>
        <rFont val="Calibri"/>
        <family val="2"/>
        <scheme val="minor"/>
      </rPr>
      <t>eff</t>
    </r>
  </si>
  <si>
    <t>Ntotal</t>
  </si>
  <si>
    <t>Bits</t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</si>
  <si>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</si>
  <si>
    <t>Int Bits</t>
  </si>
  <si>
    <t>Int SNR</t>
  </si>
  <si>
    <t>Equations</t>
  </si>
  <si>
    <t>Gain =10*20Log((e/ADU at gain 0)/GADU)</t>
  </si>
  <si>
    <r>
      <t>Swamp Factor = Sky Background/RN</t>
    </r>
    <r>
      <rPr>
        <vertAlign val="superscript"/>
        <sz val="11"/>
        <color theme="1"/>
        <rFont val="Calibri"/>
        <family val="2"/>
        <scheme val="minor"/>
      </rPr>
      <t>2</t>
    </r>
  </si>
  <si>
    <t>FWCeff = FWC - (Bias+Dark+Sky)</t>
  </si>
  <si>
    <r>
      <t>Ntotal = sqrt (Sky + Dark +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</si>
  <si>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  <r>
      <rPr>
        <sz val="11"/>
        <color theme="1"/>
        <rFont val="Calibri"/>
        <family val="2"/>
        <scheme val="minor"/>
      </rPr>
      <t xml:space="preserve"> = Ntotal/sqrt(Csubs)</t>
    </r>
  </si>
  <si>
    <t>Bits = log(FWCeff/Ntotal) / log(2)</t>
  </si>
  <si>
    <r>
      <t>Bits</t>
    </r>
    <r>
      <rPr>
        <vertAlign val="subscript"/>
        <sz val="11"/>
        <color theme="1"/>
        <rFont val="Calibri"/>
        <family val="2"/>
        <scheme val="minor"/>
      </rPr>
      <t xml:space="preserve">int </t>
    </r>
    <r>
      <rPr>
        <sz val="11"/>
        <color theme="1"/>
        <rFont val="Calibri"/>
        <family val="2"/>
        <scheme val="minor"/>
      </rPr>
      <t>= log(sqrt(Csubs)*(FWCeff/Ntotal</t>
    </r>
    <r>
      <rPr>
        <sz val="11"/>
        <color theme="1"/>
        <rFont val="Calibri"/>
        <family val="2"/>
        <scheme val="minor"/>
      </rPr>
      <t>)) / log(2)</t>
    </r>
  </si>
  <si>
    <r>
      <t>SNR = (Csubs*Obj)/sqrt(Csubs*(Obj+Sky+Dark+RN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))</t>
    </r>
  </si>
  <si>
    <t>Sky flux</t>
  </si>
  <si>
    <t>Sky Background</t>
  </si>
  <si>
    <t>mag/sq-arcsec</t>
  </si>
  <si>
    <t>Scope Aperture</t>
  </si>
  <si>
    <t>Scope focal length</t>
  </si>
  <si>
    <t>pixel size</t>
  </si>
  <si>
    <t>micron</t>
  </si>
  <si>
    <t>nanometers</t>
  </si>
  <si>
    <t>filter bandwidth</t>
  </si>
  <si>
    <t>Desired Swamp Factor</t>
  </si>
  <si>
    <r>
      <t>(skyflux /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</si>
  <si>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Input:</t>
  </si>
  <si>
    <t>Output:</t>
  </si>
  <si>
    <t>(e/sec) / pixel</t>
  </si>
  <si>
    <t>Total Integration Time</t>
  </si>
  <si>
    <t>minutes</t>
  </si>
  <si>
    <t>filter wavelength</t>
  </si>
  <si>
    <t>lambda</t>
  </si>
  <si>
    <t>flux</t>
  </si>
  <si>
    <t>Gain</t>
  </si>
  <si>
    <t>Sub-exp</t>
  </si>
  <si>
    <t>N</t>
  </si>
  <si>
    <t>SNR</t>
  </si>
  <si>
    <t>Integrated</t>
  </si>
  <si>
    <t>Dark Current</t>
  </si>
  <si>
    <t>(QE, etc)</t>
  </si>
  <si>
    <t>Transmission efficiency</t>
  </si>
  <si>
    <t>bits</t>
  </si>
  <si>
    <t>(e/sec)/pixel = T*Photon flux*bandwidth*sampling^2*(PI()*aperture^2/4)</t>
  </si>
  <si>
    <t>Your sky</t>
  </si>
  <si>
    <t>Measured Sky Background</t>
  </si>
  <si>
    <t>Photon flux = (e/sec)/pixel/[T*bandwidth*sampling^2*(PI()*aperure^2/4)]</t>
  </si>
  <si>
    <t>Photon flux for 20.7 sky</t>
  </si>
  <si>
    <r>
      <t>m1 = mref-2.5log(I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/I</t>
    </r>
    <r>
      <rPr>
        <vertAlign val="subscript"/>
        <sz val="11"/>
        <color theme="1"/>
        <rFont val="Calibri"/>
        <family val="2"/>
        <scheme val="minor"/>
      </rPr>
      <t>ref</t>
    </r>
    <r>
      <rPr>
        <sz val="11"/>
        <color theme="1"/>
        <rFont val="Calibri"/>
        <family val="2"/>
        <scheme val="minor"/>
      </rPr>
      <t>)</t>
    </r>
  </si>
  <si>
    <t>16 bit</t>
  </si>
  <si>
    <t>Skyglow background</t>
  </si>
  <si>
    <t>ADU of an area in the background</t>
  </si>
  <si>
    <t>Dark signal</t>
  </si>
  <si>
    <t>ADU of a matched dark frame</t>
  </si>
  <si>
    <t>Bias signal</t>
  </si>
  <si>
    <t>ADU of your bias</t>
  </si>
  <si>
    <t>e-/ADU</t>
  </si>
  <si>
    <t>in electrons</t>
  </si>
  <si>
    <t>ADU</t>
  </si>
  <si>
    <t>electrons</t>
  </si>
  <si>
    <t>Skyglow signal</t>
  </si>
  <si>
    <t>ADU/sec</t>
  </si>
  <si>
    <t>Duration (seconds) for light frame &amp; dark</t>
  </si>
  <si>
    <t>Input Data from an Image</t>
  </si>
  <si>
    <t>Your sky photon flux</t>
  </si>
  <si>
    <t>Equations:</t>
  </si>
  <si>
    <t>© 2019 S. Bellavia</t>
  </si>
  <si>
    <r>
      <t>(phs/s/nm/arcsec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</si>
  <si>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(photons/sec/nm/arcsec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</si>
  <si>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DR (bits)</t>
  </si>
  <si>
    <t>Enter Gain for DR and SNR vs. Total Integration:</t>
  </si>
  <si>
    <t>object signal</t>
  </si>
  <si>
    <r>
      <t>mag/arcsec</t>
    </r>
    <r>
      <rPr>
        <vertAlign val="superscript"/>
        <sz val="11"/>
        <color theme="1"/>
        <rFont val="Calibri"/>
        <family val="2"/>
        <scheme val="minor"/>
      </rPr>
      <t>2</t>
    </r>
  </si>
  <si>
    <t>f/#</t>
  </si>
  <si>
    <t>(minutes)</t>
  </si>
  <si>
    <t>Exposure duration (seconds)</t>
  </si>
  <si>
    <t>e/ADU</t>
  </si>
  <si>
    <t>RN</t>
  </si>
  <si>
    <t>Bias          (12 bit ADU's)</t>
  </si>
  <si>
    <r>
      <t xml:space="preserve">ZWO ASI 294 </t>
    </r>
    <r>
      <rPr>
        <b/>
        <sz val="18"/>
        <color rgb="FFFF0000"/>
        <rFont val="Calibri"/>
        <family val="2"/>
        <scheme val="minor"/>
      </rPr>
      <t>BIN 1</t>
    </r>
    <r>
      <rPr>
        <b/>
        <sz val="18"/>
        <color theme="1"/>
        <rFont val="Calibri"/>
        <family val="2"/>
        <scheme val="minor"/>
      </rPr>
      <t xml:space="preserve"> Gain and Sub-Exposure Calculator</t>
    </r>
  </si>
  <si>
    <t>12 bit</t>
  </si>
  <si>
    <t>© 2021 S. Bellavia</t>
  </si>
  <si>
    <t>ONLY ENTER DATA IN BLUE (OR GRAY) BOXES.  DO NOT ALTER DATA ON OTHER SHEETS</t>
  </si>
  <si>
    <t>Note:  Once you manually enter the Skybackground, Cell D6, and Dark Current, cell D12,  you will lose the link to that calcualtion.  To retrieve it change Cell D6 back to "=H34" and cell D12 back to "=K24"</t>
  </si>
  <si>
    <r>
      <t xml:space="preserve">ZWO ASI 294 </t>
    </r>
    <r>
      <rPr>
        <b/>
        <sz val="11"/>
        <color rgb="FFFF0000"/>
        <rFont val="Calibri"/>
        <family val="2"/>
        <scheme val="minor"/>
      </rPr>
      <t>Bin 1</t>
    </r>
    <r>
      <rPr>
        <b/>
        <sz val="11"/>
        <color theme="1"/>
        <rFont val="Calibri"/>
        <family val="2"/>
        <scheme val="minor"/>
      </rPr>
      <t xml:space="preserve"> Gain-sub-exposure</t>
    </r>
  </si>
  <si>
    <t>Nov25-2020</t>
  </si>
  <si>
    <t>Jan-24-2021</t>
  </si>
  <si>
    <t>Filter:</t>
  </si>
  <si>
    <t>Filter</t>
  </si>
  <si>
    <t>Wavelength</t>
  </si>
  <si>
    <t>Bandpass</t>
  </si>
  <si>
    <t>Blue</t>
  </si>
  <si>
    <t>Green</t>
  </si>
  <si>
    <t>Ha 12 nm</t>
  </si>
  <si>
    <t>Ha 3 nm</t>
  </si>
  <si>
    <t>Ha 6 nm</t>
  </si>
  <si>
    <t>Ha 7 nm</t>
  </si>
  <si>
    <t>IDAS Duo</t>
  </si>
  <si>
    <t>Lum</t>
  </si>
  <si>
    <t>OIII 12 nm</t>
  </si>
  <si>
    <t>OIII 3 nm</t>
  </si>
  <si>
    <t>OIII 6 nm</t>
  </si>
  <si>
    <t>OIII 7 nm</t>
  </si>
  <si>
    <t>Optolong L-Enhance</t>
  </si>
  <si>
    <t>Red</t>
  </si>
  <si>
    <t>SII 12 nm</t>
  </si>
  <si>
    <t>SII 3 nm</t>
  </si>
  <si>
    <t>SII 6 nm</t>
  </si>
  <si>
    <t>SII 7 nm</t>
  </si>
  <si>
    <t>Triad</t>
  </si>
  <si>
    <t>ZWO Duo</t>
  </si>
  <si>
    <t>Results</t>
  </si>
  <si>
    <r>
      <rPr>
        <b/>
        <sz val="11"/>
        <color theme="1"/>
        <rFont val="Calibri"/>
        <family val="2"/>
        <scheme val="minor"/>
      </rPr>
      <t xml:space="preserve"> OR</t>
    </r>
    <r>
      <rPr>
        <sz val="11"/>
        <color theme="1"/>
        <rFont val="Calibri"/>
        <family val="2"/>
        <scheme val="minor"/>
      </rPr>
      <t xml:space="preserve">   take data directly from an image:</t>
    </r>
  </si>
  <si>
    <t>Enter Camera Gain</t>
  </si>
  <si>
    <t>actual skyflux</t>
  </si>
  <si>
    <t>measured background</t>
  </si>
  <si>
    <t>actual background</t>
  </si>
  <si>
    <t>IDAS LPS D1</t>
  </si>
  <si>
    <t>https://www.gemini.edu/sciops/ObsProcess/obsConstraints/atm-models/skybg_50_10.dat</t>
  </si>
  <si>
    <t>L-Extreme</t>
  </si>
  <si>
    <t>If you know your sky background and dark current, enter it here: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</si>
</sst>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E9F4E8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9" xfId="0" applyFill="1" applyBorder="1" applyAlignment="1">
      <alignment horizontal="center"/>
    </xf>
    <xf numFmtId="164" fontId="1" fillId="3" borderId="9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64" fontId="3" fillId="3" borderId="9" xfId="0" applyNumberFormat="1" applyFont="1" applyFill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4" fontId="0" fillId="4" borderId="9" xfId="0" applyNumberFormat="1" applyFill="1" applyBorder="1"/>
    <xf numFmtId="2" fontId="0" fillId="4" borderId="9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1" fillId="0" borderId="1" xfId="0" applyFont="1" applyBorder="1"/>
    <xf numFmtId="0" fontId="0" fillId="0" borderId="2" xfId="0" applyFill="1" applyBorder="1"/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" xfId="0" applyBorder="1" applyAlignment="1">
      <alignment horizontal="right"/>
    </xf>
    <xf numFmtId="2" fontId="0" fillId="2" borderId="9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9" xfId="0" applyFill="1" applyBorder="1" applyAlignment="1">
      <alignment horizontal="left"/>
    </xf>
    <xf numFmtId="0" fontId="10" fillId="0" borderId="4" xfId="0" applyFont="1" applyBorder="1"/>
    <xf numFmtId="0" fontId="11" fillId="0" borderId="0" xfId="0" applyFont="1" applyBorder="1"/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right"/>
    </xf>
    <xf numFmtId="0" fontId="10" fillId="0" borderId="1" xfId="0" applyFont="1" applyBorder="1"/>
    <xf numFmtId="0" fontId="11" fillId="0" borderId="7" xfId="0" applyFont="1" applyBorder="1"/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4" fontId="13" fillId="4" borderId="22" xfId="0" applyNumberFormat="1" applyFon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5" xfId="0" applyBorder="1"/>
    <xf numFmtId="164" fontId="0" fillId="4" borderId="21" xfId="0" applyNumberFormat="1" applyFill="1" applyBorder="1"/>
    <xf numFmtId="0" fontId="0" fillId="0" borderId="26" xfId="0" applyBorder="1"/>
    <xf numFmtId="165" fontId="0" fillId="5" borderId="9" xfId="0" applyNumberForma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0" fillId="2" borderId="21" xfId="0" applyFill="1" applyBorder="1" applyAlignment="1">
      <alignment horizontal="left"/>
    </xf>
    <xf numFmtId="0" fontId="12" fillId="0" borderId="1" xfId="0" applyFont="1" applyBorder="1"/>
    <xf numFmtId="0" fontId="0" fillId="0" borderId="2" xfId="0" applyBorder="1" applyAlignment="1">
      <alignment horizontal="left"/>
    </xf>
    <xf numFmtId="0" fontId="11" fillId="0" borderId="2" xfId="0" applyFont="1" applyBorder="1"/>
    <xf numFmtId="165" fontId="0" fillId="4" borderId="9" xfId="0" applyNumberFormat="1" applyFill="1" applyBorder="1" applyAlignment="1">
      <alignment horizontal="left"/>
    </xf>
    <xf numFmtId="165" fontId="0" fillId="4" borderId="21" xfId="0" applyNumberFormat="1" applyFill="1" applyBorder="1" applyAlignment="1">
      <alignment horizontal="left"/>
    </xf>
    <xf numFmtId="0" fontId="0" fillId="2" borderId="21" xfId="0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165" fontId="0" fillId="6" borderId="9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E9F4E8"/>
      <color rgb="FFFFE7E7"/>
      <color rgb="FFDDFFFF"/>
      <color rgb="FFFFFFCC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93858481539095"/>
          <c:y val="0.16206128133704739"/>
          <c:w val="0.82175387954306134"/>
          <c:h val="0.66413221327835414"/>
        </c:manualLayout>
      </c:layout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146259842519687E-2"/>
                  <c:y val="-9.0848643919510058E-2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50-43FB-BD68-58CDF31F8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949088"/>
        <c:axId val="218949416"/>
      </c:scatterChart>
      <c:valAx>
        <c:axId val="218949088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416"/>
        <c:crosses val="autoZero"/>
        <c:crossBetween val="midCat"/>
      </c:valAx>
      <c:valAx>
        <c:axId val="21894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Flux</a:t>
                </a:r>
              </a:p>
            </c:rich>
          </c:tx>
          <c:layout>
            <c:manualLayout>
              <c:xMode val="edge"/>
              <c:yMode val="edge"/>
              <c:x val="1.8452031581592015E-2"/>
              <c:y val="0.43560371109600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9212650313274268"/>
                  <c:y val="-9.8722028678454032E-2"/>
                </c:manualLayout>
              </c:layout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2E-44C7-8346-1786F760F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6463359"/>
        <c:axId val="996451711"/>
      </c:scatterChart>
      <c:valAx>
        <c:axId val="996463359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51711"/>
        <c:crosses val="autoZero"/>
        <c:crossBetween val="midCat"/>
      </c:valAx>
      <c:valAx>
        <c:axId val="99645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63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Sony</a:t>
            </a:r>
            <a:r>
              <a:rPr lang="en-US" baseline="0"/>
              <a:t> IMX 294</a:t>
            </a:r>
          </a:p>
          <a:p>
            <a:pPr>
              <a:defRPr/>
            </a:pPr>
            <a:r>
              <a:rPr lang="en-US"/>
              <a:t>Integrated Bit Depth vs </a:t>
            </a:r>
            <a:r>
              <a:rPr lang="en-US" baseline="0"/>
              <a:t>Gain</a:t>
            </a:r>
          </a:p>
        </c:rich>
      </c:tx>
      <c:layout>
        <c:manualLayout>
          <c:xMode val="edge"/>
          <c:yMode val="edge"/>
          <c:x val="0.23330424090573468"/>
          <c:y val="3.45646446031770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87611346532373"/>
          <c:y val="0.19457721872816214"/>
          <c:w val="0.64008249586669796"/>
          <c:h val="0.6837167995509995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'ASI294-BIN-1specs'!$AA$4</c:f>
              <c:strCache>
                <c:ptCount val="1"/>
                <c:pt idx="0">
                  <c:v>Int Bits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'ASI294-BIN-1specs'!$A$5:$A$44</c:f>
              <c:numCache>
                <c:formatCode>General</c:formatCode>
                <c:ptCount val="40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</c:numCache>
            </c:numRef>
          </c:xVal>
          <c:yVal>
            <c:numRef>
              <c:f>'ASI294-BIN-1specs'!$AA$5:$AA$44</c:f>
              <c:numCache>
                <c:formatCode>0.00</c:formatCode>
                <c:ptCount val="40"/>
                <c:pt idx="0">
                  <c:v>12.444156686875218</c:v>
                </c:pt>
                <c:pt idx="1">
                  <c:v>12.380571083075477</c:v>
                </c:pt>
                <c:pt idx="2">
                  <c:v>12.316558972545913</c:v>
                </c:pt>
                <c:pt idx="3">
                  <c:v>12.251744834568267</c:v>
                </c:pt>
                <c:pt idx="4">
                  <c:v>12.185732000557744</c:v>
                </c:pt>
                <c:pt idx="5">
                  <c:v>12.118104616325679</c:v>
                </c:pt>
                <c:pt idx="6">
                  <c:v>12.048430492160351</c:v>
                </c:pt>
                <c:pt idx="7">
                  <c:v>11.976264924000493</c:v>
                </c:pt>
                <c:pt idx="8">
                  <c:v>11.901155539945082</c:v>
                </c:pt>
                <c:pt idx="9">
                  <c:v>11.822648185228505</c:v>
                </c:pt>
                <c:pt idx="10">
                  <c:v>11.740293805704168</c:v>
                </c:pt>
                <c:pt idx="11">
                  <c:v>11.653656226421939</c:v>
                </c:pt>
                <c:pt idx="12">
                  <c:v>11.562320651460581</c:v>
                </c:pt>
                <c:pt idx="13">
                  <c:v>11.465902639108771</c:v>
                </c:pt>
                <c:pt idx="14">
                  <c:v>11.364057239819545</c:v>
                </c:pt>
                <c:pt idx="15">
                  <c:v>11.256487931264703</c:v>
                </c:pt>
                <c:pt idx="16">
                  <c:v>11.14295495360717</c:v>
                </c:pt>
                <c:pt idx="17">
                  <c:v>11.023282645982249</c:v>
                </c:pt>
                <c:pt idx="18">
                  <c:v>10.897365416832969</c:v>
                </c:pt>
                <c:pt idx="19">
                  <c:v>10.765172047230253</c:v>
                </c:pt>
                <c:pt idx="20">
                  <c:v>10.626748124373057</c:v>
                </c:pt>
                <c:pt idx="21">
                  <c:v>10.482216524643627</c:v>
                </c:pt>
                <c:pt idx="22">
                  <c:v>10.331776001119309</c:v>
                </c:pt>
                <c:pt idx="23">
                  <c:v>10.175698066836032</c:v>
                </c:pt>
                <c:pt idx="24">
                  <c:v>10.01432249014116</c:v>
                </c:pt>
                <c:pt idx="25">
                  <c:v>9.8480518221331845</c:v>
                </c:pt>
                <c:pt idx="26">
                  <c:v>9.6773454520896536</c:v>
                </c:pt>
                <c:pt idx="27">
                  <c:v>9.5027137329449616</c:v>
                </c:pt>
                <c:pt idx="28">
                  <c:v>9.3247127375783503</c:v>
                </c:pt>
                <c:pt idx="29">
                  <c:v>9.14394020359045</c:v>
                </c:pt>
                <c:pt idx="30">
                  <c:v>8.961033207065114</c:v>
                </c:pt>
                <c:pt idx="31">
                  <c:v>8.7766680825475021</c:v>
                </c:pt>
                <c:pt idx="32">
                  <c:v>8.5915630837582402</c:v>
                </c:pt>
                <c:pt idx="33">
                  <c:v>8.4064842610236585</c:v>
                </c:pt>
                <c:pt idx="34">
                  <c:v>8.2222550160502799</c:v>
                </c:pt>
                <c:pt idx="35">
                  <c:v>8.0397697753535144</c:v>
                </c:pt>
                <c:pt idx="36">
                  <c:v>7.8600121854829483</c:v>
                </c:pt>
                <c:pt idx="37">
                  <c:v>7.6840781523118435</c:v>
                </c:pt>
                <c:pt idx="38">
                  <c:v>7.5132038902880041</c:v>
                </c:pt>
                <c:pt idx="39">
                  <c:v>7.3487988775523254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44-4FD5-A751-EDFE3D6E1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335896"/>
        <c:axId val="384894256"/>
      </c:scatterChart>
      <c:valAx>
        <c:axId val="384894256"/>
        <c:scaling>
          <c:orientation val="minMax"/>
          <c:min val="1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Integrated Bit Depth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335896"/>
        <c:crosses val="autoZero"/>
        <c:crossBetween val="midCat"/>
      </c:valAx>
      <c:valAx>
        <c:axId val="392335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 10 x db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894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201253712035267"/>
          <c:y val="0.73650110637578758"/>
          <c:w val="0.20006552018138166"/>
          <c:h val="4.35206140818471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FWC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FWC!$D$1</c:f>
              <c:strCache>
                <c:ptCount val="1"/>
                <c:pt idx="0">
                  <c:v>FWC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30452214452214454"/>
                  <c:y val="-0.39212574463187039"/>
                </c:manualLayout>
              </c:layout>
              <c:numFmt formatCode="#,##0.00000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FWC!$A$2:$A$16</c:f>
              <c:numCache>
                <c:formatCode>General</c:formatCode>
                <c:ptCount val="15"/>
                <c:pt idx="0">
                  <c:v>0</c:v>
                </c:pt>
                <c:pt idx="1">
                  <c:v>50</c:v>
                </c:pt>
                <c:pt idx="2">
                  <c:v>59</c:v>
                </c:pt>
                <c:pt idx="3">
                  <c:v>61</c:v>
                </c:pt>
                <c:pt idx="4">
                  <c:v>100</c:v>
                </c:pt>
                <c:pt idx="5">
                  <c:v>119</c:v>
                </c:pt>
                <c:pt idx="6">
                  <c:v>121</c:v>
                </c:pt>
                <c:pt idx="7">
                  <c:v>150</c:v>
                </c:pt>
                <c:pt idx="8">
                  <c:v>200</c:v>
                </c:pt>
                <c:pt idx="9">
                  <c:v>250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450</c:v>
                </c:pt>
                <c:pt idx="14">
                  <c:v>500</c:v>
                </c:pt>
              </c:numCache>
            </c:numRef>
          </c:xVal>
          <c:yVal>
            <c:numRef>
              <c:f>FWC!$D$2:$D$16</c:f>
              <c:numCache>
                <c:formatCode>General</c:formatCode>
                <c:ptCount val="15"/>
                <c:pt idx="0">
                  <c:v>14550.19</c:v>
                </c:pt>
                <c:pt idx="1">
                  <c:v>8182.64</c:v>
                </c:pt>
                <c:pt idx="2">
                  <c:v>7378.95</c:v>
                </c:pt>
                <c:pt idx="3">
                  <c:v>7198.19</c:v>
                </c:pt>
                <c:pt idx="4">
                  <c:v>4610.57</c:v>
                </c:pt>
                <c:pt idx="5">
                  <c:v>3713.13</c:v>
                </c:pt>
                <c:pt idx="6">
                  <c:v>3618.43</c:v>
                </c:pt>
                <c:pt idx="7">
                  <c:v>2602.33</c:v>
                </c:pt>
                <c:pt idx="8">
                  <c:v>1465.01</c:v>
                </c:pt>
                <c:pt idx="9">
                  <c:v>831.97</c:v>
                </c:pt>
                <c:pt idx="10">
                  <c:v>465.39</c:v>
                </c:pt>
                <c:pt idx="11">
                  <c:v>259.36</c:v>
                </c:pt>
                <c:pt idx="12">
                  <c:v>146.19</c:v>
                </c:pt>
                <c:pt idx="13">
                  <c:v>81.36</c:v>
                </c:pt>
                <c:pt idx="14">
                  <c:v>45.09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65-4B00-8C5A-F94F1E9A0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599640"/>
        <c:axId val="437599968"/>
      </c:scatterChart>
      <c:valAx>
        <c:axId val="437599640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599968"/>
        <c:crosses val="autoZero"/>
        <c:crossBetween val="midCat"/>
      </c:valAx>
      <c:valAx>
        <c:axId val="437599968"/>
        <c:scaling>
          <c:logBase val="10"/>
          <c:orientation val="minMax"/>
          <c:min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599640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225043739751622E-2"/>
          <c:y val="0.15014187446609117"/>
          <c:w val="0.88656576486684313"/>
          <c:h val="0.79308395505859075"/>
        </c:manualLayout>
      </c:layout>
      <c:scatterChart>
        <c:scatterStyle val="lineMarker"/>
        <c:varyColors val="0"/>
        <c:ser>
          <c:idx val="0"/>
          <c:order val="0"/>
          <c:tx>
            <c:strRef>
              <c:f>Gain!$B$1</c:f>
              <c:strCache>
                <c:ptCount val="1"/>
                <c:pt idx="0">
                  <c:v>e/ADU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1"/>
            <c:dispEq val="1"/>
            <c:trendlineLbl>
              <c:layout>
                <c:manualLayout>
                  <c:x val="-7.8208049029715565E-2"/>
                  <c:y val="-0.48826721330263112"/>
                </c:manualLayout>
              </c:layout>
              <c:numFmt formatCode="0.0000E+00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Gain!$A$2:$A$16</c:f>
              <c:numCache>
                <c:formatCode>General</c:formatCode>
                <c:ptCount val="15"/>
                <c:pt idx="0">
                  <c:v>0</c:v>
                </c:pt>
                <c:pt idx="1">
                  <c:v>50</c:v>
                </c:pt>
                <c:pt idx="2">
                  <c:v>59</c:v>
                </c:pt>
                <c:pt idx="3">
                  <c:v>61</c:v>
                </c:pt>
                <c:pt idx="4">
                  <c:v>100</c:v>
                </c:pt>
                <c:pt idx="5">
                  <c:v>119</c:v>
                </c:pt>
                <c:pt idx="6">
                  <c:v>121</c:v>
                </c:pt>
                <c:pt idx="7">
                  <c:v>150</c:v>
                </c:pt>
                <c:pt idx="8">
                  <c:v>200</c:v>
                </c:pt>
                <c:pt idx="9">
                  <c:v>250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450</c:v>
                </c:pt>
                <c:pt idx="14">
                  <c:v>500</c:v>
                </c:pt>
              </c:numCache>
            </c:numRef>
          </c:xVal>
          <c:yVal>
            <c:numRef>
              <c:f>Gain!$B$2:$B$16</c:f>
              <c:numCache>
                <c:formatCode>General</c:formatCode>
                <c:ptCount val="15"/>
                <c:pt idx="0">
                  <c:v>3.55</c:v>
                </c:pt>
                <c:pt idx="1">
                  <c:v>2</c:v>
                </c:pt>
                <c:pt idx="2">
                  <c:v>1.8</c:v>
                </c:pt>
                <c:pt idx="3">
                  <c:v>1.76</c:v>
                </c:pt>
                <c:pt idx="4">
                  <c:v>1.1299999999999999</c:v>
                </c:pt>
                <c:pt idx="5">
                  <c:v>0.91</c:v>
                </c:pt>
                <c:pt idx="6">
                  <c:v>0.88</c:v>
                </c:pt>
                <c:pt idx="7">
                  <c:v>0.64</c:v>
                </c:pt>
                <c:pt idx="8">
                  <c:v>0.36</c:v>
                </c:pt>
                <c:pt idx="9">
                  <c:v>0.2</c:v>
                </c:pt>
                <c:pt idx="10">
                  <c:v>0.11</c:v>
                </c:pt>
                <c:pt idx="11">
                  <c:v>0.06</c:v>
                </c:pt>
                <c:pt idx="12">
                  <c:v>0.04</c:v>
                </c:pt>
                <c:pt idx="13">
                  <c:v>0.02</c:v>
                </c:pt>
                <c:pt idx="14">
                  <c:v>0.01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89-4423-B8A8-600EAAB09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5613174860655569E-2"/>
          <c:y val="0.15445827055298664"/>
          <c:w val="0.90299446422297891"/>
          <c:h val="0.717981590204534"/>
        </c:manualLayout>
      </c:layout>
      <c:scatterChart>
        <c:scatterStyle val="lineMarker"/>
        <c:varyColors val="0"/>
        <c:ser>
          <c:idx val="0"/>
          <c:order val="0"/>
          <c:tx>
            <c:strRef>
              <c:f>DR!$E$1</c:f>
              <c:strCache>
                <c:ptCount val="1"/>
                <c:pt idx="0">
                  <c:v>DR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1"/>
            <c:dispEq val="1"/>
            <c:trendlineLbl>
              <c:layout>
                <c:manualLayout>
                  <c:x val="-0.37194516948144635"/>
                  <c:y val="-0.1137852652361407"/>
                </c:manualLayout>
              </c:layout>
              <c:numFmt formatCode="0.0000E+00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DR!$A$2:$A$16</c:f>
              <c:numCache>
                <c:formatCode>General</c:formatCode>
                <c:ptCount val="15"/>
                <c:pt idx="0">
                  <c:v>0</c:v>
                </c:pt>
                <c:pt idx="1">
                  <c:v>50</c:v>
                </c:pt>
                <c:pt idx="2">
                  <c:v>59</c:v>
                </c:pt>
                <c:pt idx="3">
                  <c:v>61</c:v>
                </c:pt>
                <c:pt idx="4">
                  <c:v>100</c:v>
                </c:pt>
                <c:pt idx="5">
                  <c:v>119</c:v>
                </c:pt>
                <c:pt idx="6">
                  <c:v>121</c:v>
                </c:pt>
                <c:pt idx="7">
                  <c:v>150</c:v>
                </c:pt>
                <c:pt idx="8">
                  <c:v>200</c:v>
                </c:pt>
                <c:pt idx="9">
                  <c:v>250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450</c:v>
                </c:pt>
                <c:pt idx="14">
                  <c:v>500</c:v>
                </c:pt>
              </c:numCache>
            </c:numRef>
          </c:xVal>
          <c:yVal>
            <c:numRef>
              <c:f>DR!$E$2:$E$16</c:f>
              <c:numCache>
                <c:formatCode>General</c:formatCode>
                <c:ptCount val="15"/>
                <c:pt idx="0">
                  <c:v>12</c:v>
                </c:pt>
                <c:pt idx="1">
                  <c:v>11.84</c:v>
                </c:pt>
                <c:pt idx="2">
                  <c:v>11.73</c:v>
                </c:pt>
                <c:pt idx="3">
                  <c:v>11.71</c:v>
                </c:pt>
                <c:pt idx="4">
                  <c:v>11.21</c:v>
                </c:pt>
                <c:pt idx="5">
                  <c:v>10.95</c:v>
                </c:pt>
                <c:pt idx="6">
                  <c:v>10.93</c:v>
                </c:pt>
                <c:pt idx="7">
                  <c:v>10.53</c:v>
                </c:pt>
                <c:pt idx="8">
                  <c:v>9.81</c:v>
                </c:pt>
                <c:pt idx="9">
                  <c:v>9.09</c:v>
                </c:pt>
                <c:pt idx="10">
                  <c:v>8.25</c:v>
                </c:pt>
                <c:pt idx="11">
                  <c:v>7.38</c:v>
                </c:pt>
                <c:pt idx="12">
                  <c:v>6.54</c:v>
                </c:pt>
                <c:pt idx="13">
                  <c:v>5.88</c:v>
                </c:pt>
                <c:pt idx="14">
                  <c:v>5.53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B54-4F64-8DD1-59D4D0227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065973792878733E-2"/>
          <c:y val="0.14678021010091058"/>
          <c:w val="0.89809767645482108"/>
          <c:h val="0.73616765482139124"/>
        </c:manualLayout>
      </c:layout>
      <c:scatterChart>
        <c:scatterStyle val="lineMarker"/>
        <c:varyColors val="0"/>
        <c:ser>
          <c:idx val="0"/>
          <c:order val="0"/>
          <c:tx>
            <c:strRef>
              <c:f>'Read Noise'!$C$1</c:f>
              <c:strCache>
                <c:ptCount val="1"/>
                <c:pt idx="0">
                  <c:v>RN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1"/>
            <c:dispEq val="1"/>
            <c:trendlineLbl>
              <c:layout>
                <c:manualLayout>
                  <c:x val="-6.4828994756573402E-2"/>
                  <c:y val="1.4651282627878398E-2"/>
                </c:manualLayout>
              </c:layout>
              <c:numFmt formatCode="0.0000E+00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Noise'!$A$2:$A$16</c:f>
              <c:numCache>
                <c:formatCode>General</c:formatCode>
                <c:ptCount val="15"/>
                <c:pt idx="0">
                  <c:v>0</c:v>
                </c:pt>
                <c:pt idx="1">
                  <c:v>50</c:v>
                </c:pt>
                <c:pt idx="2">
                  <c:v>59</c:v>
                </c:pt>
                <c:pt idx="3">
                  <c:v>61</c:v>
                </c:pt>
                <c:pt idx="4">
                  <c:v>100</c:v>
                </c:pt>
                <c:pt idx="5">
                  <c:v>119</c:v>
                </c:pt>
                <c:pt idx="6">
                  <c:v>121</c:v>
                </c:pt>
                <c:pt idx="7">
                  <c:v>150</c:v>
                </c:pt>
                <c:pt idx="8">
                  <c:v>200</c:v>
                </c:pt>
                <c:pt idx="9">
                  <c:v>250</c:v>
                </c:pt>
                <c:pt idx="10">
                  <c:v>300</c:v>
                </c:pt>
                <c:pt idx="11">
                  <c:v>350</c:v>
                </c:pt>
                <c:pt idx="12">
                  <c:v>400</c:v>
                </c:pt>
                <c:pt idx="13">
                  <c:v>450</c:v>
                </c:pt>
                <c:pt idx="14">
                  <c:v>500</c:v>
                </c:pt>
              </c:numCache>
            </c:numRef>
          </c:xVal>
          <c:yVal>
            <c:numRef>
              <c:f>'Read Noise'!$C$2:$C$16</c:f>
              <c:numCache>
                <c:formatCode>General</c:formatCode>
                <c:ptCount val="15"/>
                <c:pt idx="0">
                  <c:v>2.75</c:v>
                </c:pt>
                <c:pt idx="1">
                  <c:v>2.2400000000000002</c:v>
                </c:pt>
                <c:pt idx="2">
                  <c:v>2.17</c:v>
                </c:pt>
                <c:pt idx="3">
                  <c:v>2.16</c:v>
                </c:pt>
                <c:pt idx="4">
                  <c:v>1.95</c:v>
                </c:pt>
                <c:pt idx="5">
                  <c:v>1.87</c:v>
                </c:pt>
                <c:pt idx="6">
                  <c:v>1.85</c:v>
                </c:pt>
                <c:pt idx="7">
                  <c:v>1.76</c:v>
                </c:pt>
                <c:pt idx="8">
                  <c:v>1.63</c:v>
                </c:pt>
                <c:pt idx="9">
                  <c:v>1.52</c:v>
                </c:pt>
                <c:pt idx="10">
                  <c:v>1.53</c:v>
                </c:pt>
                <c:pt idx="11">
                  <c:v>1.56</c:v>
                </c:pt>
                <c:pt idx="12">
                  <c:v>1.57</c:v>
                </c:pt>
                <c:pt idx="13">
                  <c:v>1.38</c:v>
                </c:pt>
                <c:pt idx="14">
                  <c:v>0.97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C-4CE1-90CD-54C2ACAFE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123485</xdr:colOff>
      <xdr:row>18</xdr:row>
      <xdr:rowOff>114300</xdr:rowOff>
    </xdr:from>
    <xdr:to>
      <xdr:col>5</xdr:col>
      <xdr:colOff>128962</xdr:colOff>
      <xdr:row>33</xdr:row>
      <xdr:rowOff>95250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4447835" y="3781425"/>
          <a:ext cx="5477" cy="30670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33</xdr:row>
      <xdr:rowOff>85725</xdr:rowOff>
    </xdr:from>
    <xdr:to>
      <xdr:col>6</xdr:col>
      <xdr:colOff>904875</xdr:colOff>
      <xdr:row>33</xdr:row>
      <xdr:rowOff>85725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62E1357C-BEC6-4B79-B246-B8B9FAE3B8BB}"/>
            </a:ext>
          </a:extLst>
        </xdr:cNvPr>
        <xdr:cNvCxnSpPr/>
      </xdr:nvCxnSpPr>
      <xdr:spPr>
        <a:xfrm>
          <a:off x="4438650" y="6829425"/>
          <a:ext cx="10477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952502</xdr:colOff>
      <xdr:row>5</xdr:row>
      <xdr:rowOff>142875</xdr:rowOff>
    </xdr:from>
    <xdr:to>
      <xdr:col>5</xdr:col>
      <xdr:colOff>142875</xdr:colOff>
      <xdr:row>5</xdr:row>
      <xdr:rowOff>142875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53E63E9-DF3B-4F2F-979C-BA2C6F42BD7A}"/>
            </a:ext>
          </a:extLst>
        </xdr:cNvPr>
        <xdr:cNvCxnSpPr/>
      </xdr:nvCxnSpPr>
      <xdr:spPr>
        <a:xfrm flipH="1">
          <a:off x="3838577" y="1333500"/>
          <a:ext cx="628648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18</xdr:row>
      <xdr:rowOff>114300</xdr:rowOff>
    </xdr:from>
    <xdr:to>
      <xdr:col>10</xdr:col>
      <xdr:colOff>409575</xdr:colOff>
      <xdr:row>18</xdr:row>
      <xdr:rowOff>114300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DC13BD9E-40BD-4033-A1A0-7A4BD4C7BF1C}"/>
            </a:ext>
          </a:extLst>
        </xdr:cNvPr>
        <xdr:cNvCxnSpPr/>
      </xdr:nvCxnSpPr>
      <xdr:spPr>
        <a:xfrm>
          <a:off x="4457700" y="3781425"/>
          <a:ext cx="46577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11</xdr:row>
      <xdr:rowOff>85725</xdr:rowOff>
    </xdr:from>
    <xdr:to>
      <xdr:col>5</xdr:col>
      <xdr:colOff>152400</xdr:colOff>
      <xdr:row>11</xdr:row>
      <xdr:rowOff>85725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8EC328BF-DD10-4FFB-AAEB-A16876DA01EA}"/>
            </a:ext>
          </a:extLst>
        </xdr:cNvPr>
        <xdr:cNvCxnSpPr/>
      </xdr:nvCxnSpPr>
      <xdr:spPr>
        <a:xfrm flipH="1">
          <a:off x="3857625" y="2419350"/>
          <a:ext cx="61912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399710</xdr:colOff>
      <xdr:row>18</xdr:row>
      <xdr:rowOff>114300</xdr:rowOff>
    </xdr:from>
    <xdr:to>
      <xdr:col>10</xdr:col>
      <xdr:colOff>399710</xdr:colOff>
      <xdr:row>21</xdr:row>
      <xdr:rowOff>142875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ECC85EB9-0A9A-49DA-8C30-6929B6E07E29}"/>
            </a:ext>
          </a:extLst>
        </xdr:cNvPr>
        <xdr:cNvCxnSpPr/>
      </xdr:nvCxnSpPr>
      <xdr:spPr>
        <a:xfrm>
          <a:off x="9105560" y="3781425"/>
          <a:ext cx="0" cy="68580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125244</xdr:colOff>
      <xdr:row>11</xdr:row>
      <xdr:rowOff>84509</xdr:rowOff>
    </xdr:from>
    <xdr:to>
      <xdr:col>5</xdr:col>
      <xdr:colOff>143170</xdr:colOff>
      <xdr:row>18</xdr:row>
      <xdr:rowOff>113084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17105163-1ED3-4855-9071-7D90BAACCCF5}"/>
            </a:ext>
          </a:extLst>
        </xdr:cNvPr>
        <xdr:cNvCxnSpPr/>
      </xdr:nvCxnSpPr>
      <xdr:spPr>
        <a:xfrm flipV="1">
          <a:off x="4449999" y="2415094"/>
          <a:ext cx="17926" cy="1362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138488</xdr:colOff>
      <xdr:row>5</xdr:row>
      <xdr:rowOff>142875</xdr:rowOff>
    </xdr:from>
    <xdr:to>
      <xdr:col>5</xdr:col>
      <xdr:colOff>138489</xdr:colOff>
      <xdr:row>11</xdr:row>
      <xdr:rowOff>85117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BBCC090C-6C2D-4887-9580-76116CAB2AC1}"/>
            </a:ext>
          </a:extLst>
        </xdr:cNvPr>
        <xdr:cNvCxnSpPr/>
      </xdr:nvCxnSpPr>
      <xdr:spPr>
        <a:xfrm flipH="1">
          <a:off x="4463243" y="1330460"/>
          <a:ext cx="1" cy="1085242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110444</xdr:colOff>
      <xdr:row>13</xdr:row>
      <xdr:rowOff>40140</xdr:rowOff>
    </xdr:from>
    <xdr:to>
      <xdr:col>11</xdr:col>
      <xdr:colOff>521833</xdr:colOff>
      <xdr:row>22</xdr:row>
      <xdr:rowOff>107269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569686</xdr:colOff>
      <xdr:row>13</xdr:row>
      <xdr:rowOff>33564</xdr:rowOff>
    </xdr:from>
    <xdr:to>
      <xdr:col>18</xdr:col>
      <xdr:colOff>349250</xdr:colOff>
      <xdr:row>22</xdr:row>
      <xdr:rowOff>112939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66675</xdr:colOff>
      <xdr:row>5</xdr:row>
      <xdr:rowOff>38100</xdr:rowOff>
    </xdr:from>
    <xdr:to>
      <xdr:col>2</xdr:col>
      <xdr:colOff>2514109</xdr:colOff>
      <xdr:row>5</xdr:row>
      <xdr:rowOff>647624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EFE8CEA-DB25-4E11-B90F-5A078D4C5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71825" y="1123950"/>
          <a:ext cx="3923809" cy="6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152400</xdr:colOff>
      <xdr:row>4</xdr:row>
      <xdr:rowOff>66675</xdr:rowOff>
    </xdr:from>
    <xdr:to>
      <xdr:col>42</xdr:col>
      <xdr:colOff>395289</xdr:colOff>
      <xdr:row>42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23</xdr:row>
      <xdr:rowOff>152400</xdr:rowOff>
    </xdr:from>
    <xdr:to>
      <xdr:col>12</xdr:col>
      <xdr:colOff>132517</xdr:colOff>
      <xdr:row>53</xdr:row>
      <xdr:rowOff>2026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4BA40C4-C208-4271-950C-6BCEA59FC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" y="4343400"/>
          <a:ext cx="6666667" cy="5561905"/>
        </a:xfrm>
        <a:prstGeom prst="rect">
          <a:avLst/>
        </a:prstGeom>
      </xdr:spPr>
    </xdr:pic>
    <xdr:clientData/>
  </xdr:twoCellAnchor>
  <xdr:twoCellAnchor editAs="oneCell">
    <xdr:from>
      <xdr:col>13</xdr:col>
      <xdr:colOff>60551</xdr:colOff>
      <xdr:row>2</xdr:row>
      <xdr:rowOff>39244</xdr:rowOff>
    </xdr:from>
    <xdr:to>
      <xdr:col>24</xdr:col>
      <xdr:colOff>49754</xdr:colOff>
      <xdr:row>24</xdr:row>
      <xdr:rowOff>86465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9AD748E-31AB-4C8C-B43C-F527D2490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1765" y="547244"/>
          <a:ext cx="6674846" cy="403865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88045</xdr:colOff>
      <xdr:row>1</xdr:row>
      <xdr:rowOff>374794</xdr:rowOff>
    </xdr:from>
    <xdr:to>
      <xdr:col>12</xdr:col>
      <xdr:colOff>576946</xdr:colOff>
      <xdr:row>23</xdr:row>
      <xdr:rowOff>161511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E873DF9-1508-4F76-9B1B-43EA3E012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45" y="556223"/>
          <a:ext cx="7782330" cy="397408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333376</xdr:colOff>
      <xdr:row>1</xdr:row>
      <xdr:rowOff>177800</xdr:rowOff>
    </xdr:from>
    <xdr:to>
      <xdr:col>14</xdr:col>
      <xdr:colOff>295276</xdr:colOff>
      <xdr:row>15</xdr:row>
      <xdr:rowOff>136524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CCAA53-0077-4BDB-BC95-CCA4B6F4C1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0</xdr:colOff>
      <xdr:row>0</xdr:row>
      <xdr:rowOff>0</xdr:rowOff>
    </xdr:from>
    <xdr:to>
      <xdr:col>27</xdr:col>
      <xdr:colOff>457200</xdr:colOff>
      <xdr:row>21</xdr:row>
      <xdr:rowOff>124293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4720760-1FF7-4C81-87FF-B669DB83F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0" y="0"/>
          <a:ext cx="7772400" cy="399144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446086</xdr:colOff>
      <xdr:row>1</xdr:row>
      <xdr:rowOff>47625</xdr:rowOff>
    </xdr:from>
    <xdr:to>
      <xdr:col>14</xdr:col>
      <xdr:colOff>203200</xdr:colOff>
      <xdr:row>14</xdr:row>
      <xdr:rowOff>114301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5325946-EFDF-4610-B89F-8BCC196152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108984</xdr:colOff>
      <xdr:row>1</xdr:row>
      <xdr:rowOff>42621</xdr:rowOff>
    </xdr:from>
    <xdr:to>
      <xdr:col>14</xdr:col>
      <xdr:colOff>116130</xdr:colOff>
      <xdr:row>13</xdr:row>
      <xdr:rowOff>165652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E58137-0419-466A-B0C8-F3C01277E1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306386</xdr:colOff>
      <xdr:row>1</xdr:row>
      <xdr:rowOff>181769</xdr:rowOff>
    </xdr:from>
    <xdr:to>
      <xdr:col>14</xdr:col>
      <xdr:colOff>313531</xdr:colOff>
      <xdr:row>15</xdr:row>
      <xdr:rowOff>120650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BB20084-2E74-4C17-9015-E8535F858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49"/>
  <sheetViews>
    <sheetView tabSelected="1" zoomScale="70" zoomScaleNormal="70" workbookViewId="0">
      <selection activeCell="S7" sqref="S7"/>
    </sheetView>
  </sheetViews>
  <sheetFormatPr defaultRowHeight="14.5" x14ac:dyDescent="0.35"/>
  <cols>
    <col min="1" max="1" width="2" customWidth="1"/>
    <col min="2" max="2" width="8.54296875" customWidth="1"/>
    <col min="3" max="3" width="21.54296875" customWidth="1"/>
    <col min="4" max="4" width="11.1796875" customWidth="1"/>
    <col min="5" max="5" width="21.54296875" customWidth="1"/>
    <col min="6" max="6" width="3.81640625" customWidth="1"/>
    <col min="7" max="7" width="25" customWidth="1"/>
    <col min="8" max="11" width="12.1796875" customWidth="1"/>
    <col min="12" max="12" width="2.453125" customWidth="1"/>
    <col min="16" max="16" width="16.1796875" customWidth="1"/>
    <col min="17" max="25" width="9.1796875" customWidth="1"/>
  </cols>
  <sheetData>
    <row r="1" spans="2:17" ht="22" customHeight="1" x14ac:dyDescent="0.55000000000000004">
      <c r="C1" s="111" t="s">
        <v>117</v>
      </c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98"/>
      <c r="Q1" s="98"/>
    </row>
    <row r="2" spans="2:17" ht="22" customHeight="1" x14ac:dyDescent="0.45">
      <c r="B2" s="12"/>
      <c r="C2" s="127" t="s">
        <v>120</v>
      </c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" t="s">
        <v>119</v>
      </c>
    </row>
    <row r="3" spans="2:17" ht="22" customHeight="1" thickBot="1" x14ac:dyDescent="0.4">
      <c r="B3" s="112" t="s">
        <v>121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</row>
    <row r="4" spans="2:17" ht="22" customHeight="1" thickBot="1" x14ac:dyDescent="0.5">
      <c r="B4" s="124" t="s">
        <v>158</v>
      </c>
      <c r="C4" s="125"/>
      <c r="D4" s="125"/>
      <c r="E4" s="126"/>
      <c r="F4" s="12"/>
      <c r="G4" s="124" t="s">
        <v>150</v>
      </c>
      <c r="H4" s="125"/>
      <c r="I4" s="125"/>
      <c r="J4" s="125"/>
      <c r="K4" s="126"/>
      <c r="M4" s="121" t="s">
        <v>149</v>
      </c>
      <c r="N4" s="122"/>
      <c r="O4" s="122"/>
      <c r="P4" s="122"/>
      <c r="Q4" s="123"/>
    </row>
    <row r="5" spans="2:17" ht="15" thickBot="1" x14ac:dyDescent="0.4">
      <c r="B5" s="61" t="s">
        <v>64</v>
      </c>
      <c r="C5" s="2"/>
      <c r="D5" s="62"/>
      <c r="E5" s="3"/>
      <c r="G5" s="118" t="s">
        <v>101</v>
      </c>
      <c r="H5" s="119"/>
      <c r="I5" s="119"/>
      <c r="J5" s="119"/>
      <c r="K5" s="120"/>
      <c r="M5" s="115" t="s">
        <v>122</v>
      </c>
      <c r="N5" s="116"/>
      <c r="O5" s="116"/>
      <c r="P5" s="116"/>
      <c r="Q5" s="117"/>
    </row>
    <row r="6" spans="2:17" x14ac:dyDescent="0.35">
      <c r="B6" s="4"/>
      <c r="C6" s="63" t="s">
        <v>54</v>
      </c>
      <c r="D6" s="147">
        <f>H34</f>
        <v>20.813514933408047</v>
      </c>
      <c r="E6" s="6" t="s">
        <v>55</v>
      </c>
      <c r="G6" s="74" t="s">
        <v>87</v>
      </c>
      <c r="H6" s="2"/>
      <c r="I6" s="2"/>
      <c r="J6" s="2"/>
      <c r="K6" s="3"/>
      <c r="M6" s="1"/>
      <c r="N6" s="2"/>
      <c r="O6" s="2"/>
      <c r="P6" s="113" t="s">
        <v>76</v>
      </c>
      <c r="Q6" s="114"/>
    </row>
    <row r="7" spans="2:17" x14ac:dyDescent="0.35">
      <c r="B7" s="4"/>
      <c r="C7" s="63"/>
      <c r="D7" s="68"/>
      <c r="E7" s="6"/>
      <c r="G7" s="4" t="s">
        <v>88</v>
      </c>
      <c r="H7" s="69">
        <v>1500</v>
      </c>
      <c r="I7" s="71" t="s">
        <v>89</v>
      </c>
      <c r="J7" s="5"/>
      <c r="K7" s="6"/>
      <c r="M7" s="52" t="s">
        <v>72</v>
      </c>
      <c r="N7" s="46" t="s">
        <v>73</v>
      </c>
      <c r="O7" s="46" t="s">
        <v>74</v>
      </c>
      <c r="P7" s="46" t="s">
        <v>80</v>
      </c>
      <c r="Q7" s="53" t="s">
        <v>75</v>
      </c>
    </row>
    <row r="8" spans="2:17" x14ac:dyDescent="0.35">
      <c r="B8" s="4"/>
      <c r="C8" s="63" t="s">
        <v>56</v>
      </c>
      <c r="D8" s="14">
        <v>0.115</v>
      </c>
      <c r="E8" s="6" t="s">
        <v>10</v>
      </c>
      <c r="G8" s="4" t="s">
        <v>90</v>
      </c>
      <c r="H8" s="69">
        <v>802</v>
      </c>
      <c r="I8" s="71" t="s">
        <v>91</v>
      </c>
      <c r="J8" s="5"/>
      <c r="K8" s="6"/>
      <c r="M8" s="52"/>
      <c r="N8" s="94" t="s">
        <v>112</v>
      </c>
      <c r="O8" s="94"/>
      <c r="P8" s="94"/>
      <c r="Q8" s="53"/>
    </row>
    <row r="9" spans="2:17" x14ac:dyDescent="0.35">
      <c r="B9" s="4"/>
      <c r="C9" s="63" t="s">
        <v>57</v>
      </c>
      <c r="D9" s="14">
        <v>0.52300000000000002</v>
      </c>
      <c r="E9" s="6" t="s">
        <v>10</v>
      </c>
      <c r="G9" s="4" t="s">
        <v>92</v>
      </c>
      <c r="H9" s="69">
        <v>800</v>
      </c>
      <c r="I9" s="71" t="s">
        <v>93</v>
      </c>
      <c r="J9" s="5"/>
      <c r="K9" s="6"/>
      <c r="M9" s="11">
        <v>0</v>
      </c>
      <c r="N9" s="82">
        <f>LOOKUP(M9,'ASI294-BIN-1specs'!$A$5:$A$45,'ASI294-BIN-1specs'!$M$5:$M$45)</f>
        <v>4.9176262118112204</v>
      </c>
      <c r="O9" s="54">
        <f>$D$21/N9</f>
        <v>12.201008660619873</v>
      </c>
      <c r="P9" s="55">
        <f>LOOKUP(M9,'ASI294-BIN-1specs'!$A$5:$A$45,'ASI294-BIN-1specs'!$AA$5:$AA$45)</f>
        <v>12.444156686875218</v>
      </c>
      <c r="Q9" s="56">
        <f>LOOKUP(M9,'ASI294-BIN-1specs'!$A$5:$A$45,'ASI294-BIN-1specs'!$AC$5:$AC$45)</f>
        <v>8.3775877723442065</v>
      </c>
    </row>
    <row r="10" spans="2:17" ht="15" thickBot="1" x14ac:dyDescent="0.4">
      <c r="B10" s="4"/>
      <c r="C10" s="63" t="s">
        <v>111</v>
      </c>
      <c r="D10" s="110">
        <f>D9/D8</f>
        <v>4.5478260869565217</v>
      </c>
      <c r="E10" s="6"/>
      <c r="G10" s="7" t="s">
        <v>113</v>
      </c>
      <c r="H10" s="99">
        <v>120</v>
      </c>
      <c r="I10" s="75" t="s">
        <v>100</v>
      </c>
      <c r="J10" s="8"/>
      <c r="K10" s="9"/>
      <c r="M10" s="11">
        <f>M9+10</f>
        <v>10</v>
      </c>
      <c r="N10" s="82">
        <f>LOOKUP(M10,'ASI294-BIN-1specs'!$A$5:$A$45,'ASI294-BIN-1specs'!$M$5:$M$45)</f>
        <v>4.5779620431722501</v>
      </c>
      <c r="O10" s="54">
        <f t="shared" ref="O10:O49" si="0">$D$21/N10</f>
        <v>13.10626856102626</v>
      </c>
      <c r="P10" s="55">
        <f>LOOKUP(M10,'ASI294-BIN-1specs'!$A$5:$A$45,'ASI294-BIN-1specs'!$AA$5:$AA$45)</f>
        <v>12.380571083075477</v>
      </c>
      <c r="Q10" s="56">
        <f>LOOKUP(M10,'ASI294-BIN-1specs'!$A$5:$A$45,'ASI294-BIN-1specs'!$AC$5:$AC$45)</f>
        <v>8.3775877723442083</v>
      </c>
    </row>
    <row r="11" spans="2:17" ht="15" thickBot="1" x14ac:dyDescent="0.4">
      <c r="B11" s="4"/>
      <c r="C11" s="63" t="s">
        <v>58</v>
      </c>
      <c r="D11" s="14">
        <v>2.2999999999999998</v>
      </c>
      <c r="E11" s="6" t="s">
        <v>59</v>
      </c>
      <c r="G11" s="4"/>
      <c r="H11" s="72"/>
      <c r="I11" s="71"/>
      <c r="J11" s="5"/>
      <c r="K11" s="6"/>
      <c r="M11" s="11">
        <f t="shared" ref="M11:M49" si="1">M10+10</f>
        <v>20</v>
      </c>
      <c r="N11" s="82">
        <f>LOOKUP(M11,'ASI294-BIN-1specs'!$A$5:$A$45,'ASI294-BIN-1specs'!$M$5:$M$45)</f>
        <v>4.2630700230805125</v>
      </c>
      <c r="O11" s="54">
        <f t="shared" si="0"/>
        <v>14.074364173038786</v>
      </c>
      <c r="P11" s="55">
        <f>LOOKUP(M11,'ASI294-BIN-1specs'!$A$5:$A$45,'ASI294-BIN-1specs'!$AA$5:$AA$45)</f>
        <v>12.316558972545913</v>
      </c>
      <c r="Q11" s="56">
        <f>LOOKUP(M11,'ASI294-BIN-1specs'!$A$5:$A$45,'ASI294-BIN-1specs'!$AC$5:$AC$45)</f>
        <v>8.3775877723442065</v>
      </c>
    </row>
    <row r="12" spans="2:17" x14ac:dyDescent="0.35">
      <c r="B12" s="4"/>
      <c r="C12" s="63" t="s">
        <v>77</v>
      </c>
      <c r="D12" s="107">
        <f>K24</f>
        <v>7.146663949999997E-4</v>
      </c>
      <c r="E12" s="6" t="s">
        <v>1</v>
      </c>
      <c r="G12" s="100" t="s">
        <v>118</v>
      </c>
      <c r="H12" s="101"/>
      <c r="I12" s="102"/>
      <c r="J12" s="2"/>
      <c r="K12" s="3"/>
      <c r="M12" s="11">
        <f t="shared" si="1"/>
        <v>30</v>
      </c>
      <c r="N12" s="82">
        <f>LOOKUP(M12,'ASI294-BIN-1specs'!$A$5:$A$45,'ASI294-BIN-1specs'!$M$5:$M$45)</f>
        <v>3.9720858607282858</v>
      </c>
      <c r="O12" s="54">
        <f t="shared" si="0"/>
        <v>15.105413655131549</v>
      </c>
      <c r="P12" s="55">
        <f>LOOKUP(M12,'ASI294-BIN-1specs'!$A$5:$A$45,'ASI294-BIN-1specs'!$AA$5:$AA$45)</f>
        <v>12.251744834568267</v>
      </c>
      <c r="Q12" s="56">
        <f>LOOKUP(M12,'ASI294-BIN-1specs'!$A$5:$A$45,'ASI294-BIN-1specs'!$AC$5:$AC$45)</f>
        <v>8.3775877723442047</v>
      </c>
    </row>
    <row r="13" spans="2:17" ht="15" thickBot="1" x14ac:dyDescent="0.4">
      <c r="B13" s="11" t="s">
        <v>125</v>
      </c>
      <c r="C13" s="63"/>
      <c r="D13" s="68"/>
      <c r="E13" s="6"/>
      <c r="G13" s="4" t="s">
        <v>88</v>
      </c>
      <c r="H13" s="103">
        <f>H7*(2^12/2^16)</f>
        <v>93.75</v>
      </c>
      <c r="I13" s="71" t="s">
        <v>89</v>
      </c>
      <c r="J13" s="5"/>
      <c r="K13" s="6"/>
      <c r="M13" s="11">
        <f t="shared" si="1"/>
        <v>40</v>
      </c>
      <c r="N13" s="82">
        <f>LOOKUP(M13,'ASI294-BIN-1specs'!$A$5:$A$45,'ASI294-BIN-1specs'!$M$5:$M$45)</f>
        <v>3.7040682089142773</v>
      </c>
      <c r="O13" s="54">
        <f t="shared" si="0"/>
        <v>16.198405811103292</v>
      </c>
      <c r="P13" s="55">
        <f>LOOKUP(M13,'ASI294-BIN-1specs'!$A$5:$A$45,'ASI294-BIN-1specs'!$AA$5:$AA$45)</f>
        <v>12.185732000557744</v>
      </c>
      <c r="Q13" s="56">
        <f>LOOKUP(M13,'ASI294-BIN-1specs'!$A$5:$A$45,'ASI294-BIN-1specs'!$AC$5:$AC$45)</f>
        <v>8.3775877723442065</v>
      </c>
    </row>
    <row r="14" spans="2:17" ht="15" thickBot="1" x14ac:dyDescent="0.4">
      <c r="B14" s="96" t="s">
        <v>130</v>
      </c>
      <c r="C14" s="63" t="s">
        <v>69</v>
      </c>
      <c r="D14" s="108">
        <f>LOOKUP(B14,Filters!A2:C23,Filters!B2:B23)</f>
        <v>550</v>
      </c>
      <c r="E14" s="6" t="s">
        <v>60</v>
      </c>
      <c r="G14" s="4" t="s">
        <v>90</v>
      </c>
      <c r="H14" s="103">
        <f>H8*(2^12/2^16)</f>
        <v>50.125</v>
      </c>
      <c r="I14" s="71" t="s">
        <v>91</v>
      </c>
      <c r="J14" s="5"/>
      <c r="K14" s="6"/>
      <c r="M14" s="11">
        <f t="shared" si="1"/>
        <v>50</v>
      </c>
      <c r="N14" s="82">
        <f>LOOKUP(M14,'ASI294-BIN-1specs'!$A$5:$A$45,'ASI294-BIN-1specs'!$M$5:$M$45)</f>
        <v>3.4580176100091484</v>
      </c>
      <c r="O14" s="54">
        <f t="shared" si="0"/>
        <v>17.350981622051737</v>
      </c>
      <c r="P14" s="55">
        <f>LOOKUP(M14,'ASI294-BIN-1specs'!$A$5:$A$45,'ASI294-BIN-1specs'!$AA$5:$AA$45)</f>
        <v>12.118104616325679</v>
      </c>
      <c r="Q14" s="56">
        <f>LOOKUP(M14,'ASI294-BIN-1specs'!$A$5:$A$45,'ASI294-BIN-1specs'!$AC$5:$AC$45)</f>
        <v>8.3775877723442065</v>
      </c>
    </row>
    <row r="15" spans="2:17" ht="15" thickBot="1" x14ac:dyDescent="0.4">
      <c r="B15" s="4"/>
      <c r="C15" s="63" t="s">
        <v>61</v>
      </c>
      <c r="D15" s="108">
        <f>LOOKUP(B14,Filters!A2:C23,Filters!C2:C23)</f>
        <v>100</v>
      </c>
      <c r="E15" s="6" t="s">
        <v>60</v>
      </c>
      <c r="G15" s="7" t="s">
        <v>92</v>
      </c>
      <c r="H15" s="104">
        <f>H9*(2^12/2^16)</f>
        <v>50</v>
      </c>
      <c r="I15" s="75" t="s">
        <v>93</v>
      </c>
      <c r="J15" s="8"/>
      <c r="K15" s="9"/>
      <c r="M15" s="11">
        <f t="shared" si="1"/>
        <v>60</v>
      </c>
      <c r="N15" s="82">
        <f>LOOKUP(M15,'ASI294-BIN-1specs'!$A$5:$A$45,'ASI294-BIN-1specs'!$M$5:$M$45)</f>
        <v>3.2328940414387404</v>
      </c>
      <c r="O15" s="54">
        <f t="shared" si="0"/>
        <v>18.559222551351574</v>
      </c>
      <c r="P15" s="55">
        <f>LOOKUP(M15,'ASI294-BIN-1specs'!$A$5:$A$45,'ASI294-BIN-1specs'!$AA$5:$AA$45)</f>
        <v>12.048430492160351</v>
      </c>
      <c r="Q15" s="56">
        <f>LOOKUP(M15,'ASI294-BIN-1specs'!$A$5:$A$45,'ASI294-BIN-1specs'!$AC$5:$AC$45)</f>
        <v>8.3775877723442083</v>
      </c>
    </row>
    <row r="16" spans="2:17" x14ac:dyDescent="0.35">
      <c r="B16" s="4"/>
      <c r="C16" s="63"/>
      <c r="D16" s="10"/>
      <c r="E16" s="6"/>
      <c r="G16" s="4"/>
      <c r="H16" s="72"/>
      <c r="I16" s="71"/>
      <c r="J16" s="5"/>
      <c r="K16" s="6"/>
      <c r="M16" s="11">
        <f t="shared" si="1"/>
        <v>70</v>
      </c>
      <c r="N16" s="82">
        <f>LOOKUP(M16,'ASI294-BIN-1specs'!$A$5:$A$45,'ASI294-BIN-1specs'!$M$5:$M$45)</f>
        <v>3.0276329516624014</v>
      </c>
      <c r="O16" s="54">
        <f t="shared" si="0"/>
        <v>19.817461679777075</v>
      </c>
      <c r="P16" s="55">
        <f>LOOKUP(M16,'ASI294-BIN-1specs'!$A$5:$A$45,'ASI294-BIN-1specs'!$AA$5:$AA$45)</f>
        <v>11.976264924000493</v>
      </c>
      <c r="Q16" s="56">
        <f>LOOKUP(M16,'ASI294-BIN-1specs'!$A$5:$A$45,'ASI294-BIN-1specs'!$AC$5:$AC$45)</f>
        <v>8.3775877723442065</v>
      </c>
    </row>
    <row r="17" spans="2:18" ht="15" thickBot="1" x14ac:dyDescent="0.4">
      <c r="B17" s="4"/>
      <c r="C17" s="63" t="s">
        <v>79</v>
      </c>
      <c r="D17" s="14">
        <v>0.6</v>
      </c>
      <c r="E17" s="6" t="s">
        <v>78</v>
      </c>
      <c r="G17" s="70" t="s">
        <v>151</v>
      </c>
      <c r="H17" s="5"/>
      <c r="I17" s="5"/>
      <c r="J17" s="5"/>
      <c r="K17" s="6"/>
      <c r="M17" s="11">
        <f t="shared" si="1"/>
        <v>80</v>
      </c>
      <c r="N17" s="82">
        <f>LOOKUP(M17,'ASI294-BIN-1specs'!$A$5:$A$45,'ASI294-BIN-1specs'!$M$5:$M$45)</f>
        <v>2.841159696356784</v>
      </c>
      <c r="O17" s="54">
        <f t="shared" si="0"/>
        <v>21.118137103288468</v>
      </c>
      <c r="P17" s="55">
        <f>LOOKUP(M17,'ASI294-BIN-1specs'!$A$5:$A$45,'ASI294-BIN-1specs'!$AA$5:$AA$45)</f>
        <v>11.901155539945082</v>
      </c>
      <c r="Q17" s="56">
        <f>LOOKUP(M17,'ASI294-BIN-1specs'!$A$5:$A$45,'ASI294-BIN-1specs'!$AC$5:$AC$45)</f>
        <v>8.3775877723442065</v>
      </c>
    </row>
    <row r="18" spans="2:18" ht="16" thickBot="1" x14ac:dyDescent="0.4">
      <c r="B18" s="4"/>
      <c r="C18" s="63"/>
      <c r="D18" s="68"/>
      <c r="E18" s="6"/>
      <c r="G18" s="4" t="s">
        <v>72</v>
      </c>
      <c r="H18" s="106">
        <v>140</v>
      </c>
      <c r="I18" s="5"/>
      <c r="J18" s="5"/>
      <c r="K18" s="6"/>
      <c r="M18" s="11">
        <f t="shared" si="1"/>
        <v>90</v>
      </c>
      <c r="N18" s="82">
        <f>LOOKUP(M18,'ASI294-BIN-1specs'!$A$5:$A$45,'ASI294-BIN-1specs'!$M$5:$M$45)</f>
        <v>2.6724023032483877</v>
      </c>
      <c r="O18" s="54">
        <f t="shared" si="0"/>
        <v>22.451709432770713</v>
      </c>
      <c r="P18" s="55">
        <f>LOOKUP(M18,'ASI294-BIN-1specs'!$A$5:$A$45,'ASI294-BIN-1specs'!$AA$5:$AA$45)</f>
        <v>11.822648185228505</v>
      </c>
      <c r="Q18" s="56">
        <f>LOOKUP(M18,'ASI294-BIN-1specs'!$A$5:$A$45,'ASI294-BIN-1specs'!$AC$5:$AC$45)</f>
        <v>8.3775877723442065</v>
      </c>
    </row>
    <row r="19" spans="2:18" ht="16.5" x14ac:dyDescent="0.35">
      <c r="B19" s="4"/>
      <c r="C19" s="63" t="s">
        <v>62</v>
      </c>
      <c r="D19" s="14">
        <v>10</v>
      </c>
      <c r="E19" s="6" t="s">
        <v>63</v>
      </c>
      <c r="G19" s="4"/>
      <c r="H19" s="5"/>
      <c r="I19" s="5"/>
      <c r="J19" s="5"/>
      <c r="K19" s="6"/>
      <c r="M19" s="11">
        <f t="shared" si="1"/>
        <v>100</v>
      </c>
      <c r="N19" s="82">
        <f>LOOKUP(M19,'ASI294-BIN-1specs'!$A$5:$A$45,'ASI294-BIN-1specs'!$M$5:$M$45)</f>
        <v>2.5203025127710679</v>
      </c>
      <c r="O19" s="54">
        <f t="shared" si="0"/>
        <v>23.80666594425211</v>
      </c>
      <c r="P19" s="55">
        <f>LOOKUP(M19,'ASI294-BIN-1specs'!$A$5:$A$45,'ASI294-BIN-1specs'!$AA$5:$AA$45)</f>
        <v>11.740293805704168</v>
      </c>
      <c r="Q19" s="56">
        <f>LOOKUP(M19,'ASI294-BIN-1specs'!$A$5:$A$45,'ASI294-BIN-1specs'!$AC$5:$AC$45)</f>
        <v>8.3775877723442065</v>
      </c>
    </row>
    <row r="20" spans="2:18" ht="17.25" customHeight="1" x14ac:dyDescent="0.35">
      <c r="B20" s="4"/>
      <c r="C20" s="63"/>
      <c r="D20" s="10"/>
      <c r="E20" s="6"/>
      <c r="G20" s="4" t="s">
        <v>72</v>
      </c>
      <c r="H20" s="79">
        <f>LOOKUP(H18,'ASI294-BIN-1specs'!A5:A45,'ASI294-BIN-1specs'!B5:B45)</f>
        <v>0.68607973919999976</v>
      </c>
      <c r="I20" s="71" t="s">
        <v>94</v>
      </c>
      <c r="J20" s="5"/>
      <c r="K20" s="6"/>
      <c r="M20" s="11">
        <f t="shared" si="1"/>
        <v>110</v>
      </c>
      <c r="N20" s="82">
        <f>LOOKUP(M20,'ASI294-BIN-1specs'!$A$5:$A$45,'ASI294-BIN-1specs'!$M$5:$M$45)</f>
        <v>2.3838250604577089</v>
      </c>
      <c r="O20" s="54">
        <f t="shared" si="0"/>
        <v>25.169632199637853</v>
      </c>
      <c r="P20" s="55">
        <f>LOOKUP(M20,'ASI294-BIN-1specs'!$A$5:$A$45,'ASI294-BIN-1specs'!$AA$5:$AA$45)</f>
        <v>11.653656226421939</v>
      </c>
      <c r="Q20" s="56">
        <f>LOOKUP(M20,'ASI294-BIN-1specs'!$A$5:$A$45,'ASI294-BIN-1specs'!$AC$5:$AC$45)</f>
        <v>8.3775877723442083</v>
      </c>
    </row>
    <row r="21" spans="2:18" ht="17.25" customHeight="1" thickBot="1" x14ac:dyDescent="0.4">
      <c r="B21" s="7"/>
      <c r="C21" s="64" t="s">
        <v>67</v>
      </c>
      <c r="D21" s="105">
        <v>60</v>
      </c>
      <c r="E21" s="9" t="s">
        <v>68</v>
      </c>
      <c r="G21" s="7" t="s">
        <v>29</v>
      </c>
      <c r="H21" s="80">
        <f>LOOKUP(H18,'ASI294-BIN-1specs'!A5:A45,'ASI294-BIN-1specs'!E5:E45)</f>
        <v>1.7550544425600003</v>
      </c>
      <c r="I21" s="75" t="s">
        <v>95</v>
      </c>
      <c r="J21" s="8"/>
      <c r="K21" s="9"/>
      <c r="M21" s="11">
        <f t="shared" si="1"/>
        <v>120</v>
      </c>
      <c r="N21" s="82">
        <f>LOOKUP(M21,'ASI294-BIN-1specs'!$A$5:$A$45,'ASI294-BIN-1specs'!$M$5:$M$45)</f>
        <v>2.2619651857081307</v>
      </c>
      <c r="O21" s="54">
        <f t="shared" si="0"/>
        <v>26.525607192851822</v>
      </c>
      <c r="P21" s="55">
        <f>LOOKUP(M21,'ASI294-BIN-1specs'!$A$5:$A$45,'ASI294-BIN-1specs'!$AA$5:$AA$45)</f>
        <v>11.562320651460581</v>
      </c>
      <c r="Q21" s="56">
        <f>LOOKUP(M21,'ASI294-BIN-1specs'!$A$5:$A$45,'ASI294-BIN-1specs'!$AC$5:$AC$45)</f>
        <v>8.3775877723442065</v>
      </c>
    </row>
    <row r="22" spans="2:18" ht="15" thickBot="1" x14ac:dyDescent="0.4">
      <c r="C22" s="13"/>
      <c r="G22" s="5"/>
      <c r="H22" s="72"/>
      <c r="I22" s="71"/>
      <c r="J22" s="5"/>
      <c r="K22" s="5"/>
      <c r="M22" s="11">
        <f t="shared" si="1"/>
        <v>130</v>
      </c>
      <c r="N22" s="82">
        <f>LOOKUP(M22,'ASI294-BIN-1specs'!$A$5:$A$45,'ASI294-BIN-1specs'!$M$5:$M$45)</f>
        <v>2.15375437030831</v>
      </c>
      <c r="O22" s="54">
        <f t="shared" si="0"/>
        <v>27.858330006040102</v>
      </c>
      <c r="P22" s="55">
        <f>LOOKUP(M22,'ASI294-BIN-1specs'!$A$5:$A$45,'ASI294-BIN-1specs'!$AA$5:$AA$45)</f>
        <v>11.465902639108771</v>
      </c>
      <c r="Q22" s="56">
        <f>LOOKUP(M22,'ASI294-BIN-1specs'!$A$5:$A$45,'ASI294-BIN-1specs'!$AC$5:$AC$45)</f>
        <v>8.3775877723442047</v>
      </c>
    </row>
    <row r="23" spans="2:18" x14ac:dyDescent="0.35">
      <c r="B23" s="61" t="s">
        <v>65</v>
      </c>
      <c r="C23" s="65"/>
      <c r="D23" s="2"/>
      <c r="E23" s="3"/>
      <c r="G23" s="61" t="s">
        <v>65</v>
      </c>
      <c r="H23" s="77" t="s">
        <v>96</v>
      </c>
      <c r="I23" s="77" t="s">
        <v>97</v>
      </c>
      <c r="J23" s="77" t="s">
        <v>99</v>
      </c>
      <c r="K23" s="76" t="s">
        <v>1</v>
      </c>
      <c r="M23" s="11">
        <f t="shared" si="1"/>
        <v>140</v>
      </c>
      <c r="N23" s="82">
        <f>LOOKUP(M23,'ASI294-BIN-1specs'!$A$5:$A$45,'ASI294-BIN-1specs'!$M$5:$M$45)</f>
        <v>2.0582643288088742</v>
      </c>
      <c r="O23" s="54">
        <f t="shared" si="0"/>
        <v>29.150774834990333</v>
      </c>
      <c r="P23" s="55">
        <f>LOOKUP(M23,'ASI294-BIN-1specs'!$A$5:$A$45,'ASI294-BIN-1specs'!$AA$5:$AA$45)</f>
        <v>11.364057239819545</v>
      </c>
      <c r="Q23" s="56">
        <f>LOOKUP(M23,'ASI294-BIN-1specs'!$A$5:$A$45,'ASI294-BIN-1specs'!$AC$5:$AC$45)</f>
        <v>8.3775877723442065</v>
      </c>
    </row>
    <row r="24" spans="2:18" x14ac:dyDescent="0.35">
      <c r="B24" s="4"/>
      <c r="C24" s="63" t="s">
        <v>19</v>
      </c>
      <c r="D24" s="49">
        <f>(D11/D9)*0.0036*180/PI()</f>
        <v>0.90709188215740255</v>
      </c>
      <c r="E24" s="6" t="s">
        <v>8</v>
      </c>
      <c r="G24" s="4" t="s">
        <v>90</v>
      </c>
      <c r="H24" s="79">
        <f>H14-H15</f>
        <v>0.125</v>
      </c>
      <c r="I24" s="79">
        <f>H24*H20</f>
        <v>8.575996739999997E-2</v>
      </c>
      <c r="J24" s="79">
        <f>H24/H10</f>
        <v>1.0416666666666667E-3</v>
      </c>
      <c r="K24" s="81">
        <f>I24/H10</f>
        <v>7.146663949999997E-4</v>
      </c>
      <c r="L24" s="5"/>
      <c r="M24" s="11">
        <f t="shared" si="1"/>
        <v>150</v>
      </c>
      <c r="N24" s="82">
        <f>LOOKUP(M24,'ASI294-BIN-1specs'!$A$5:$A$45,'ASI294-BIN-1specs'!$M$5:$M$45)</f>
        <v>1.9746092916038209</v>
      </c>
      <c r="O24" s="54">
        <f t="shared" si="0"/>
        <v>30.38575795987807</v>
      </c>
      <c r="P24" s="55">
        <f>LOOKUP(M24,'ASI294-BIN-1specs'!$A$5:$A$45,'ASI294-BIN-1specs'!$AA$5:$AA$45)</f>
        <v>11.256487931264703</v>
      </c>
      <c r="Q24" s="56">
        <f>LOOKUP(M24,'ASI294-BIN-1specs'!$A$5:$A$45,'ASI294-BIN-1specs'!$AC$5:$AC$45)</f>
        <v>8.3775877723442065</v>
      </c>
    </row>
    <row r="25" spans="2:18" x14ac:dyDescent="0.35">
      <c r="B25" s="4"/>
      <c r="C25" s="63"/>
      <c r="D25" s="5"/>
      <c r="E25" s="6"/>
      <c r="G25" s="4" t="s">
        <v>98</v>
      </c>
      <c r="H25" s="79">
        <f>H13-H14</f>
        <v>43.625</v>
      </c>
      <c r="I25" s="79">
        <f>H25*H20</f>
        <v>29.930228622599991</v>
      </c>
      <c r="J25" s="79">
        <f>H25/H10</f>
        <v>0.36354166666666665</v>
      </c>
      <c r="K25" s="78">
        <f>I25/H10</f>
        <v>0.24941857185499991</v>
      </c>
      <c r="L25" s="5"/>
      <c r="M25" s="11">
        <f t="shared" si="1"/>
        <v>160</v>
      </c>
      <c r="N25" s="82">
        <f>LOOKUP(M25,'ASI294-BIN-1specs'!$A$5:$A$45,'ASI294-BIN-1specs'!$M$5:$M$45)</f>
        <v>1.9019466402833147</v>
      </c>
      <c r="O25" s="54">
        <f t="shared" si="0"/>
        <v>31.546626350706862</v>
      </c>
      <c r="P25" s="55">
        <f>LOOKUP(M25,'ASI294-BIN-1specs'!$A$5:$A$45,'ASI294-BIN-1specs'!$AA$5:$AA$45)</f>
        <v>11.14295495360717</v>
      </c>
      <c r="Q25" s="56">
        <f>LOOKUP(M25,'ASI294-BIN-1specs'!$A$5:$A$45,'ASI294-BIN-1specs'!$AC$5:$AC$45)</f>
        <v>8.3775877723442065</v>
      </c>
    </row>
    <row r="26" spans="2:18" ht="16.5" x14ac:dyDescent="0.35">
      <c r="B26" s="4"/>
      <c r="C26" s="63" t="s">
        <v>152</v>
      </c>
      <c r="D26" s="48">
        <f xml:space="preserve"> (-0.00000045063*D14^2 + 0.000090632*D14 + 0.62647)*10^(-0.4*(D6-20.7))</f>
        <v>0.48639535076796486</v>
      </c>
      <c r="E26" s="6" t="s">
        <v>105</v>
      </c>
      <c r="G26" s="4"/>
      <c r="H26" s="5"/>
      <c r="I26" s="5"/>
      <c r="J26" s="5"/>
      <c r="K26" s="6"/>
      <c r="L26" s="5"/>
      <c r="M26" s="11">
        <f t="shared" si="1"/>
        <v>170</v>
      </c>
      <c r="N26" s="82">
        <f>LOOKUP(M26,'ASI294-BIN-1specs'!$A$5:$A$45,'ASI294-BIN-1specs'!$M$5:$M$45)</f>
        <v>1.8394759735673618</v>
      </c>
      <c r="O26" s="54">
        <f t="shared" si="0"/>
        <v>32.617985155652697</v>
      </c>
      <c r="P26" s="55">
        <f>LOOKUP(M26,'ASI294-BIN-1specs'!$A$5:$A$45,'ASI294-BIN-1specs'!$AA$5:$AA$45)</f>
        <v>11.023282645982249</v>
      </c>
      <c r="Q26" s="56">
        <f>LOOKUP(M26,'ASI294-BIN-1specs'!$A$5:$A$45,'ASI294-BIN-1specs'!$AC$5:$AC$45)</f>
        <v>8.3775877723442065</v>
      </c>
    </row>
    <row r="27" spans="2:18" x14ac:dyDescent="0.35">
      <c r="B27" s="4"/>
      <c r="C27" s="63" t="s">
        <v>153</v>
      </c>
      <c r="D27" s="48">
        <f>D17*D26*D15*D24^2*(PI()*D8^2/4)</f>
        <v>0.24941857185499969</v>
      </c>
      <c r="E27" s="6" t="s">
        <v>66</v>
      </c>
      <c r="G27" s="73" t="s">
        <v>83</v>
      </c>
      <c r="H27" s="48">
        <f>K25</f>
        <v>0.24941857185499991</v>
      </c>
      <c r="I27" s="5" t="s">
        <v>66</v>
      </c>
      <c r="J27" s="5"/>
      <c r="K27" s="6"/>
      <c r="L27" s="5"/>
      <c r="M27" s="11">
        <f t="shared" si="1"/>
        <v>180</v>
      </c>
      <c r="N27" s="82">
        <f>LOOKUP(M27,'ASI294-BIN-1specs'!$A$5:$A$45,'ASI294-BIN-1specs'!$M$5:$M$45)</f>
        <v>1.7864367008601287</v>
      </c>
      <c r="O27" s="54">
        <f t="shared" si="0"/>
        <v>33.586412533459125</v>
      </c>
      <c r="P27" s="55">
        <f>LOOKUP(M27,'ASI294-BIN-1specs'!$A$5:$A$45,'ASI294-BIN-1specs'!$AA$5:$AA$45)</f>
        <v>10.897365416832969</v>
      </c>
      <c r="Q27" s="56">
        <f>LOOKUP(M27,'ASI294-BIN-1specs'!$A$5:$A$45,'ASI294-BIN-1specs'!$AC$5:$AC$45)</f>
        <v>8.3775877723442065</v>
      </c>
    </row>
    <row r="28" spans="2:18" x14ac:dyDescent="0.35">
      <c r="B28" s="4"/>
      <c r="C28" s="63" t="s">
        <v>154</v>
      </c>
      <c r="D28" s="48">
        <f>D27/D17</f>
        <v>0.4156976197583328</v>
      </c>
      <c r="E28" s="6" t="s">
        <v>66</v>
      </c>
      <c r="G28" s="73"/>
      <c r="H28" s="5"/>
      <c r="I28" s="5"/>
      <c r="J28" s="5"/>
      <c r="K28" s="6"/>
      <c r="L28" s="5"/>
      <c r="M28" s="11">
        <f t="shared" si="1"/>
        <v>190</v>
      </c>
      <c r="N28" s="82">
        <f>LOOKUP(M28,'ASI294-BIN-1specs'!$A$5:$A$45,'ASI294-BIN-1specs'!$M$5:$M$45)</f>
        <v>1.7421042791975694</v>
      </c>
      <c r="O28" s="54">
        <f t="shared" si="0"/>
        <v>34.441107066011341</v>
      </c>
      <c r="P28" s="55">
        <f>LOOKUP(M28,'ASI294-BIN-1specs'!$A$5:$A$45,'ASI294-BIN-1specs'!$AA$5:$AA$45)</f>
        <v>10.765172047230253</v>
      </c>
      <c r="Q28" s="56">
        <f>LOOKUP(M28,'ASI294-BIN-1specs'!$A$5:$A$45,'ASI294-BIN-1specs'!$AC$5:$AC$45)</f>
        <v>8.3775877723442065</v>
      </c>
    </row>
    <row r="29" spans="2:18" ht="16.5" x14ac:dyDescent="0.35">
      <c r="B29" s="4"/>
      <c r="C29" s="63"/>
      <c r="D29" s="5"/>
      <c r="E29" s="6"/>
      <c r="G29" s="73" t="s">
        <v>102</v>
      </c>
      <c r="H29" s="48">
        <f>H27/(D17*D15*D24^2*(PI()*D8^2/4))</f>
        <v>0.48639535076796536</v>
      </c>
      <c r="I29" s="5" t="s">
        <v>106</v>
      </c>
      <c r="J29" s="5"/>
      <c r="K29" s="6"/>
      <c r="L29" s="5"/>
      <c r="M29" s="11">
        <f t="shared" si="1"/>
        <v>200</v>
      </c>
      <c r="N29" s="82">
        <f>LOOKUP(M29,'ASI294-BIN-1specs'!$A$5:$A$45,'ASI294-BIN-1specs'!$M$5:$M$45)</f>
        <v>1.7057852280939991</v>
      </c>
      <c r="O29" s="54">
        <f t="shared" si="0"/>
        <v>35.174416457482437</v>
      </c>
      <c r="P29" s="55">
        <f>LOOKUP(M29,'ASI294-BIN-1specs'!$A$5:$A$45,'ASI294-BIN-1specs'!$AA$5:$AA$45)</f>
        <v>10.626748124373057</v>
      </c>
      <c r="Q29" s="56">
        <f>LOOKUP(M29,'ASI294-BIN-1specs'!$A$5:$A$45,'ASI294-BIN-1specs'!$AC$5:$AC$45)</f>
        <v>8.3775877723442065</v>
      </c>
      <c r="R29" s="5"/>
    </row>
    <row r="30" spans="2:18" ht="16.5" x14ac:dyDescent="0.35">
      <c r="B30" s="4"/>
      <c r="C30" s="63" t="s">
        <v>109</v>
      </c>
      <c r="D30" s="93">
        <v>22</v>
      </c>
      <c r="E30" s="90" t="s">
        <v>110</v>
      </c>
      <c r="G30" s="73"/>
      <c r="H30" s="48">
        <f>H27/D17</f>
        <v>0.41569761975833319</v>
      </c>
      <c r="I30" s="5" t="s">
        <v>66</v>
      </c>
      <c r="J30" s="5"/>
      <c r="K30" s="6"/>
      <c r="L30" s="5"/>
      <c r="M30" s="11">
        <f t="shared" si="1"/>
        <v>210</v>
      </c>
      <c r="N30" s="82">
        <f>LOOKUP(M30,'ASI294-BIN-1specs'!$A$5:$A$45,'ASI294-BIN-1specs'!$M$5:$M$45)</f>
        <v>1.6768110755261716</v>
      </c>
      <c r="O30" s="54">
        <f t="shared" si="0"/>
        <v>35.782206401023693</v>
      </c>
      <c r="P30" s="55">
        <f>LOOKUP(M30,'ASI294-BIN-1specs'!$A$5:$A$45,'ASI294-BIN-1specs'!$AA$5:$AA$45)</f>
        <v>10.482216524643627</v>
      </c>
      <c r="Q30" s="56">
        <f>LOOKUP(M30,'ASI294-BIN-1specs'!$A$5:$A$45,'ASI294-BIN-1specs'!$AC$5:$AC$45)</f>
        <v>8.3775877723442065</v>
      </c>
      <c r="R30" s="5"/>
    </row>
    <row r="31" spans="2:18" ht="16.5" x14ac:dyDescent="0.35">
      <c r="B31" s="4"/>
      <c r="C31" s="63"/>
      <c r="D31" s="48">
        <f xml:space="preserve"> (-0.000001*D14^2 + 0.00064*D14+ 0.4905)*10^(-0.4*((D30)-20.7))</f>
        <v>0.16307739290170872</v>
      </c>
      <c r="E31" s="6" t="s">
        <v>105</v>
      </c>
      <c r="G31" s="73"/>
      <c r="H31" s="50"/>
      <c r="I31" s="5"/>
      <c r="J31" s="5"/>
      <c r="K31" s="6"/>
      <c r="L31" s="5"/>
      <c r="M31" s="11">
        <f t="shared" si="1"/>
        <v>220</v>
      </c>
      <c r="N31" s="82">
        <f>LOOKUP(M31,'ASI294-BIN-1specs'!$A$5:$A$45,'ASI294-BIN-1specs'!$M$5:$M$45)</f>
        <v>1.6545314070263735</v>
      </c>
      <c r="O31" s="54">
        <f t="shared" si="0"/>
        <v>36.264044154855739</v>
      </c>
      <c r="P31" s="55">
        <f>LOOKUP(M31,'ASI294-BIN-1specs'!$A$5:$A$45,'ASI294-BIN-1specs'!$AA$5:$AA$45)</f>
        <v>10.331776001119309</v>
      </c>
      <c r="Q31" s="56">
        <f>LOOKUP(M31,'ASI294-BIN-1specs'!$A$5:$A$45,'ASI294-BIN-1specs'!$AC$5:$AC$45)</f>
        <v>8.3775877723442083</v>
      </c>
      <c r="R31" s="5"/>
    </row>
    <row r="32" spans="2:18" ht="17" thickBot="1" x14ac:dyDescent="0.4">
      <c r="B32" s="7"/>
      <c r="C32" s="8"/>
      <c r="D32" s="91">
        <f>D17*D31*D15*D24^2*(PI()*D8^2/4)</f>
        <v>8.3624422756426911E-2</v>
      </c>
      <c r="E32" s="92" t="s">
        <v>66</v>
      </c>
      <c r="G32" s="73" t="s">
        <v>85</v>
      </c>
      <c r="H32" s="48">
        <f>(-0.00000045063*D14^2 + 0.000090632*D14 + 0.62647)*10^(-0.4*(20.7-20.7))</f>
        <v>0.54000202499999994</v>
      </c>
      <c r="I32" s="5" t="s">
        <v>106</v>
      </c>
      <c r="J32" s="5"/>
      <c r="K32" s="6"/>
      <c r="L32" s="5"/>
      <c r="M32" s="11">
        <f t="shared" si="1"/>
        <v>230</v>
      </c>
      <c r="N32" s="82">
        <f>LOOKUP(M32,'ASI294-BIN-1specs'!$A$5:$A$45,'ASI294-BIN-1specs'!$M$5:$M$45)</f>
        <v>1.6383062085889641</v>
      </c>
      <c r="O32" s="54">
        <f t="shared" si="0"/>
        <v>36.623190271418572</v>
      </c>
      <c r="P32" s="55">
        <f>LOOKUP(M32,'ASI294-BIN-1specs'!$A$5:$A$45,'ASI294-BIN-1specs'!$AA$5:$AA$45)</f>
        <v>10.175698066836032</v>
      </c>
      <c r="Q32" s="56">
        <f>LOOKUP(M32,'ASI294-BIN-1specs'!$A$5:$A$45,'ASI294-BIN-1specs'!$AC$5:$AC$45)</f>
        <v>8.3775877723442065</v>
      </c>
      <c r="R32" s="5"/>
    </row>
    <row r="33" spans="2:18" ht="15" thickBot="1" x14ac:dyDescent="0.4">
      <c r="G33" s="73"/>
      <c r="H33" s="5"/>
      <c r="I33" s="5"/>
      <c r="J33" s="5"/>
      <c r="K33" s="6"/>
      <c r="L33" s="5"/>
      <c r="M33" s="11">
        <f t="shared" si="1"/>
        <v>240</v>
      </c>
      <c r="N33" s="82">
        <f>LOOKUP(M33,'ASI294-BIN-1specs'!$A$5:$A$45,'ASI294-BIN-1specs'!$M$5:$M$45)</f>
        <v>1.6274977128277708</v>
      </c>
      <c r="O33" s="54">
        <f t="shared" si="0"/>
        <v>36.866411256425202</v>
      </c>
      <c r="P33" s="55">
        <f>LOOKUP(M33,'ASI294-BIN-1specs'!$A$5:$A$45,'ASI294-BIN-1specs'!$AA$5:$AA$45)</f>
        <v>10.01432249014116</v>
      </c>
      <c r="Q33" s="56">
        <f>LOOKUP(M33,'ASI294-BIN-1specs'!$A$5:$A$45,'ASI294-BIN-1specs'!$AC$5:$AC$45)</f>
        <v>8.3775877723442065</v>
      </c>
      <c r="R33" s="5"/>
    </row>
    <row r="34" spans="2:18" ht="15" thickBot="1" x14ac:dyDescent="0.4">
      <c r="B34" t="s">
        <v>108</v>
      </c>
      <c r="E34" s="109">
        <v>100</v>
      </c>
      <c r="G34" s="73" t="s">
        <v>82</v>
      </c>
      <c r="H34" s="49">
        <f>20.7-(2.5*LOG(H29/H32))</f>
        <v>20.813514933408047</v>
      </c>
      <c r="I34" s="5" t="s">
        <v>55</v>
      </c>
      <c r="J34" s="5"/>
      <c r="K34" s="6"/>
      <c r="L34" s="5"/>
      <c r="M34" s="11">
        <f t="shared" si="1"/>
        <v>250</v>
      </c>
      <c r="N34" s="82">
        <f>LOOKUP(M34,'ASI294-BIN-1specs'!$A$5:$A$45,'ASI294-BIN-1specs'!$M$5:$M$45)</f>
        <v>1.6214619765546276</v>
      </c>
      <c r="O34" s="54">
        <f t="shared" si="0"/>
        <v>37.00364292691669</v>
      </c>
      <c r="P34" s="55">
        <f>LOOKUP(M34,'ASI294-BIN-1specs'!$A$5:$A$45,'ASI294-BIN-1specs'!$AA$5:$AA$45)</f>
        <v>9.8480518221331845</v>
      </c>
      <c r="Q34" s="56">
        <f>LOOKUP(M34,'ASI294-BIN-1specs'!$A$5:$A$45,'ASI294-BIN-1specs'!$AC$5:$AC$45)</f>
        <v>8.3775877723442065</v>
      </c>
      <c r="R34" s="5"/>
    </row>
    <row r="35" spans="2:18" ht="15" thickBot="1" x14ac:dyDescent="0.4">
      <c r="G35" s="7"/>
      <c r="H35" s="8"/>
      <c r="I35" s="8"/>
      <c r="J35" s="8"/>
      <c r="K35" s="9"/>
      <c r="L35" s="5"/>
      <c r="M35" s="11">
        <f t="shared" si="1"/>
        <v>260</v>
      </c>
      <c r="N35" s="82">
        <f>LOOKUP(M35,'ASI294-BIN-1specs'!$A$5:$A$45,'ASI294-BIN-1specs'!$M$5:$M$45)</f>
        <v>1.619540436682354</v>
      </c>
      <c r="O35" s="54">
        <f t="shared" si="0"/>
        <v>37.047546724372403</v>
      </c>
      <c r="P35" s="55">
        <f>LOOKUP(M35,'ASI294-BIN-1specs'!$A$5:$A$45,'ASI294-BIN-1specs'!$AA$5:$AA$45)</f>
        <v>9.6773454520896536</v>
      </c>
      <c r="Q35" s="56">
        <f>LOOKUP(M35,'ASI294-BIN-1specs'!$A$5:$A$45,'ASI294-BIN-1specs'!$AC$5:$AC$45)</f>
        <v>8.3775877723442047</v>
      </c>
      <c r="R35" s="5"/>
    </row>
    <row r="36" spans="2:18" x14ac:dyDescent="0.35">
      <c r="C36" s="86" t="s">
        <v>67</v>
      </c>
      <c r="D36" s="88" t="s">
        <v>107</v>
      </c>
      <c r="E36" s="89" t="s">
        <v>75</v>
      </c>
      <c r="K36" s="5"/>
      <c r="L36" s="5"/>
      <c r="M36" s="11">
        <f t="shared" si="1"/>
        <v>270</v>
      </c>
      <c r="N36" s="82">
        <f>LOOKUP(M36,'ASI294-BIN-1specs'!$A$5:$A$45,'ASI294-BIN-1specs'!$M$5:$M$45)</f>
        <v>1.621051710088359</v>
      </c>
      <c r="O36" s="54">
        <f t="shared" si="0"/>
        <v>37.013008053104961</v>
      </c>
      <c r="P36" s="55">
        <f>LOOKUP(M36,'ASI294-BIN-1specs'!$A$5:$A$45,'ASI294-BIN-1specs'!$AA$5:$AA$45)</f>
        <v>9.5027137329449616</v>
      </c>
      <c r="Q36" s="56">
        <f>LOOKUP(M36,'ASI294-BIN-1specs'!$A$5:$A$45,'ASI294-BIN-1specs'!$AC$5:$AC$45)</f>
        <v>8.3775877723442065</v>
      </c>
      <c r="R36" s="5"/>
    </row>
    <row r="37" spans="2:18" x14ac:dyDescent="0.35">
      <c r="C37" s="11">
        <f>D21*0.25</f>
        <v>15</v>
      </c>
      <c r="D37" s="55">
        <f t="shared" ref="D37:D46" si="2">LOOKUP($E$34,$M$9:$M$49,$P$9:$P$49)+(LOG(SQRT((C37/$D$21)*LOOKUP($E$34,$M$9:$M$49,$O$9:$O$49)))/LOG(2)-LOG(SQRT((LOOKUP($E$34,$M$9:$M$49,$O$9:$O$49))))/LOG(2))</f>
        <v>10.740293805704168</v>
      </c>
      <c r="E37" s="56">
        <f t="shared" ref="E37:E46" si="3">SQRT(C37/$D$21)*LOOKUP($E$34,$M$9:$M$49,$Q$9:$Q$49)</f>
        <v>4.1887938861721032</v>
      </c>
      <c r="K37" s="5"/>
      <c r="L37" s="5"/>
      <c r="M37" s="11">
        <f t="shared" si="1"/>
        <v>280</v>
      </c>
      <c r="N37" s="82">
        <f>LOOKUP(M37,'ASI294-BIN-1specs'!$A$5:$A$45,'ASI294-BIN-1specs'!$M$5:$M$45)</f>
        <v>1.6252839218080091</v>
      </c>
      <c r="O37" s="54">
        <f t="shared" si="0"/>
        <v>36.916626808966647</v>
      </c>
      <c r="P37" s="55">
        <f>LOOKUP(M37,'ASI294-BIN-1specs'!$A$5:$A$45,'ASI294-BIN-1specs'!$AA$5:$AA$45)</f>
        <v>9.3247127375783503</v>
      </c>
      <c r="Q37" s="56">
        <f>LOOKUP(M37,'ASI294-BIN-1specs'!$A$5:$A$45,'ASI294-BIN-1specs'!$AC$5:$AC$45)</f>
        <v>8.3775877723442065</v>
      </c>
    </row>
    <row r="38" spans="2:18" x14ac:dyDescent="0.35">
      <c r="C38" s="11">
        <f>D21*0.5</f>
        <v>30</v>
      </c>
      <c r="D38" s="55">
        <f t="shared" si="2"/>
        <v>11.240293805704168</v>
      </c>
      <c r="E38" s="56">
        <f t="shared" si="3"/>
        <v>5.9238491238100917</v>
      </c>
      <c r="K38" s="5"/>
      <c r="L38" s="5"/>
      <c r="M38" s="11">
        <f t="shared" si="1"/>
        <v>290</v>
      </c>
      <c r="N38" s="82">
        <f>LOOKUP(M38,'ASI294-BIN-1specs'!$A$5:$A$45,'ASI294-BIN-1specs'!$M$5:$M$45)</f>
        <v>1.6314878646598578</v>
      </c>
      <c r="O38" s="54">
        <f t="shared" si="0"/>
        <v>36.776246578155913</v>
      </c>
      <c r="P38" s="55">
        <f>LOOKUP(M38,'ASI294-BIN-1specs'!$A$5:$A$45,'ASI294-BIN-1specs'!$AA$5:$AA$45)</f>
        <v>9.14394020359045</v>
      </c>
      <c r="Q38" s="56">
        <f>LOOKUP(M38,'ASI294-BIN-1specs'!$A$5:$A$45,'ASI294-BIN-1specs'!$AC$5:$AC$45)</f>
        <v>8.3775877723442065</v>
      </c>
    </row>
    <row r="39" spans="2:18" x14ac:dyDescent="0.35">
      <c r="C39" s="11">
        <f>D21*0.75</f>
        <v>45</v>
      </c>
      <c r="D39" s="55">
        <f t="shared" si="2"/>
        <v>11.532775056064745</v>
      </c>
      <c r="E39" s="56">
        <f t="shared" si="3"/>
        <v>7.255203833283967</v>
      </c>
      <c r="K39" s="5"/>
      <c r="L39" s="5"/>
      <c r="M39" s="11">
        <f t="shared" si="1"/>
        <v>300</v>
      </c>
      <c r="N39" s="82">
        <f>LOOKUP(M39,'ASI294-BIN-1specs'!$A$5:$A$45,'ASI294-BIN-1specs'!$M$5:$M$45)</f>
        <v>1.6388713121377492</v>
      </c>
      <c r="O39" s="54">
        <f t="shared" si="0"/>
        <v>36.610562132383535</v>
      </c>
      <c r="P39" s="55">
        <f>LOOKUP(M39,'ASI294-BIN-1specs'!$A$5:$A$45,'ASI294-BIN-1specs'!$AA$5:$AA$45)</f>
        <v>8.961033207065114</v>
      </c>
      <c r="Q39" s="56">
        <f>LOOKUP(M39,'ASI294-BIN-1specs'!$A$5:$A$45,'ASI294-BIN-1specs'!$AC$5:$AC$45)</f>
        <v>8.3775877723442065</v>
      </c>
    </row>
    <row r="40" spans="2:18" x14ac:dyDescent="0.35">
      <c r="C40" s="87">
        <f>D21*1</f>
        <v>60</v>
      </c>
      <c r="D40" s="55">
        <f t="shared" si="2"/>
        <v>11.740293805704168</v>
      </c>
      <c r="E40" s="56">
        <f t="shared" si="3"/>
        <v>8.3775877723442065</v>
      </c>
      <c r="K40" s="5"/>
      <c r="M40" s="11">
        <f t="shared" si="1"/>
        <v>310</v>
      </c>
      <c r="N40" s="82">
        <f>LOOKUP(M40,'ASI294-BIN-1specs'!$A$5:$A$45,'ASI294-BIN-1specs'!$M$5:$M$45)</f>
        <v>1.64659482513775</v>
      </c>
      <c r="O40" s="54">
        <f t="shared" si="0"/>
        <v>36.438836733851964</v>
      </c>
      <c r="P40" s="55">
        <f>LOOKUP(M40,'ASI294-BIN-1specs'!$A$5:$A$45,'ASI294-BIN-1specs'!$AA$5:$AA$45)</f>
        <v>8.7766680825475021</v>
      </c>
      <c r="Q40" s="56">
        <f>LOOKUP(M40,'ASI294-BIN-1specs'!$A$5:$A$45,'ASI294-BIN-1specs'!$AC$5:$AC$45)</f>
        <v>8.3775877723442065</v>
      </c>
    </row>
    <row r="41" spans="2:18" x14ac:dyDescent="0.35">
      <c r="C41" s="11">
        <f>D21*1.5</f>
        <v>90</v>
      </c>
      <c r="D41" s="55">
        <f t="shared" si="2"/>
        <v>12.032775056064747</v>
      </c>
      <c r="E41" s="56">
        <f t="shared" si="3"/>
        <v>10.260407658811454</v>
      </c>
      <c r="K41" s="5"/>
      <c r="M41" s="11">
        <f t="shared" si="1"/>
        <v>320</v>
      </c>
      <c r="N41" s="82">
        <f>LOOKUP(M41,'ASI294-BIN-1specs'!$A$5:$A$45,'ASI294-BIN-1specs'!$M$5:$M$45)</f>
        <v>1.6537694118208266</v>
      </c>
      <c r="O41" s="54">
        <f t="shared" si="0"/>
        <v>36.280753272573257</v>
      </c>
      <c r="P41" s="55">
        <f>LOOKUP(M41,'ASI294-BIN-1specs'!$A$5:$A$45,'ASI294-BIN-1specs'!$AA$5:$AA$45)</f>
        <v>8.5915630837582402</v>
      </c>
      <c r="Q41" s="56">
        <f>LOOKUP(M41,'ASI294-BIN-1specs'!$A$5:$A$45,'ASI294-BIN-1specs'!$AC$5:$AC$45)</f>
        <v>8.3775877723442083</v>
      </c>
    </row>
    <row r="42" spans="2:18" x14ac:dyDescent="0.35">
      <c r="C42" s="11">
        <f>D21*2</f>
        <v>120</v>
      </c>
      <c r="D42" s="55">
        <f t="shared" si="2"/>
        <v>12.240293805704168</v>
      </c>
      <c r="E42" s="56">
        <f t="shared" si="3"/>
        <v>11.847698247620183</v>
      </c>
      <c r="K42" s="5"/>
      <c r="M42" s="11">
        <f t="shared" si="1"/>
        <v>330</v>
      </c>
      <c r="N42" s="82">
        <f>LOOKUP(M42,'ASI294-BIN-1specs'!$A$5:$A$45,'ASI294-BIN-1specs'!$M$5:$M$45)</f>
        <v>1.6594564186450962</v>
      </c>
      <c r="O42" s="54">
        <f t="shared" si="0"/>
        <v>36.156418045005644</v>
      </c>
      <c r="P42" s="55">
        <f>LOOKUP(M42,'ASI294-BIN-1specs'!$A$5:$A$45,'ASI294-BIN-1specs'!$AA$5:$AA$45)</f>
        <v>8.4064842610236585</v>
      </c>
      <c r="Q42" s="56">
        <f>LOOKUP(M42,'ASI294-BIN-1specs'!$A$5:$A$45,'ASI294-BIN-1specs'!$AC$5:$AC$45)</f>
        <v>8.3775877723442065</v>
      </c>
    </row>
    <row r="43" spans="2:18" x14ac:dyDescent="0.35">
      <c r="C43" s="11">
        <f>D21*3</f>
        <v>180</v>
      </c>
      <c r="D43" s="55">
        <f t="shared" si="2"/>
        <v>12.532775056064747</v>
      </c>
      <c r="E43" s="56">
        <f t="shared" si="3"/>
        <v>14.510407666567934</v>
      </c>
      <c r="K43" s="5"/>
      <c r="M43" s="11">
        <f t="shared" si="1"/>
        <v>340</v>
      </c>
      <c r="N43" s="82">
        <f>LOOKUP(M43,'ASI294-BIN-1specs'!$A$5:$A$45,'ASI294-BIN-1specs'!$M$5:$M$45)</f>
        <v>1.6626700493344433</v>
      </c>
      <c r="O43" s="54">
        <f t="shared" si="0"/>
        <v>36.086534441405036</v>
      </c>
      <c r="P43" s="55">
        <f>LOOKUP(M43,'ASI294-BIN-1specs'!$A$5:$A$45,'ASI294-BIN-1specs'!$AA$5:$AA$45)</f>
        <v>8.2222550160502799</v>
      </c>
      <c r="Q43" s="56">
        <f>LOOKUP(M43,'ASI294-BIN-1specs'!$A$5:$A$45,'ASI294-BIN-1specs'!$AC$5:$AC$45)</f>
        <v>8.3775877723442065</v>
      </c>
    </row>
    <row r="44" spans="2:18" x14ac:dyDescent="0.35">
      <c r="C44" s="11">
        <f>D21*4</f>
        <v>240</v>
      </c>
      <c r="D44" s="55">
        <f t="shared" si="2"/>
        <v>12.740293805704168</v>
      </c>
      <c r="E44" s="56">
        <f t="shared" si="3"/>
        <v>16.755175544688413</v>
      </c>
      <c r="K44" s="5"/>
      <c r="M44" s="11">
        <f t="shared" si="1"/>
        <v>350</v>
      </c>
      <c r="N44" s="82">
        <f>LOOKUP(M44,'ASI294-BIN-1specs'!$A$5:$A$45,'ASI294-BIN-1specs'!$M$5:$M$45)</f>
        <v>1.6623829272831969</v>
      </c>
      <c r="O44" s="54">
        <f t="shared" si="0"/>
        <v>36.092767205000683</v>
      </c>
      <c r="P44" s="55">
        <f>LOOKUP(M44,'ASI294-BIN-1specs'!$A$5:$A$45,'ASI294-BIN-1specs'!$AA$5:$AA$45)</f>
        <v>8.0397697753535144</v>
      </c>
      <c r="Q44" s="56">
        <f>LOOKUP(M44,'ASI294-BIN-1specs'!$A$5:$A$45,'ASI294-BIN-1specs'!$AC$5:$AC$45)</f>
        <v>8.3775877723442065</v>
      </c>
    </row>
    <row r="45" spans="2:18" x14ac:dyDescent="0.35">
      <c r="C45" s="11">
        <f>D21*5</f>
        <v>300</v>
      </c>
      <c r="D45" s="55">
        <f t="shared" si="2"/>
        <v>12.901257853147849</v>
      </c>
      <c r="E45" s="56">
        <f t="shared" si="3"/>
        <v>18.73285574643268</v>
      </c>
      <c r="K45" s="5"/>
      <c r="M45" s="11">
        <f t="shared" si="1"/>
        <v>360</v>
      </c>
      <c r="N45" s="82">
        <f>LOOKUP(M45,'ASI294-BIN-1specs'!$A$5:$A$45,'ASI294-BIN-1specs'!$M$5:$M$45)</f>
        <v>1.6575351356295678</v>
      </c>
      <c r="O45" s="54">
        <f t="shared" si="0"/>
        <v>36.198327691684618</v>
      </c>
      <c r="P45" s="55">
        <f>LOOKUP(M45,'ASI294-BIN-1specs'!$A$5:$A$45,'ASI294-BIN-1specs'!$AA$5:$AA$45)</f>
        <v>7.8600121854829483</v>
      </c>
      <c r="Q45" s="56">
        <f>LOOKUP(M45,'ASI294-BIN-1specs'!$A$5:$A$45,'ASI294-BIN-1specs'!$AC$5:$AC$45)</f>
        <v>8.3775877723442065</v>
      </c>
    </row>
    <row r="46" spans="2:18" ht="15" thickBot="1" x14ac:dyDescent="0.4">
      <c r="C46" s="57">
        <f>D21*10</f>
        <v>600</v>
      </c>
      <c r="D46" s="59">
        <f t="shared" si="2"/>
        <v>13.401257853147849</v>
      </c>
      <c r="E46" s="60">
        <f t="shared" si="3"/>
        <v>26.492258658583864</v>
      </c>
      <c r="M46" s="11">
        <f t="shared" si="1"/>
        <v>370</v>
      </c>
      <c r="N46" s="82">
        <f>LOOKUP(M46,'ASI294-BIN-1specs'!$A$5:$A$45,'ASI294-BIN-1specs'!$M$5:$M$45)</f>
        <v>1.647047187963413</v>
      </c>
      <c r="O46" s="54">
        <f t="shared" si="0"/>
        <v>36.428828778239485</v>
      </c>
      <c r="P46" s="55">
        <f>LOOKUP(M46,'ASI294-BIN-1specs'!$A$5:$A$45,'ASI294-BIN-1specs'!$AA$5:$AA$45)</f>
        <v>7.6840781523118435</v>
      </c>
      <c r="Q46" s="56">
        <f>LOOKUP(M46,'ASI294-BIN-1specs'!$A$5:$A$45,'ASI294-BIN-1specs'!$AC$5:$AC$45)</f>
        <v>8.3775877723442065</v>
      </c>
    </row>
    <row r="47" spans="2:18" x14ac:dyDescent="0.35">
      <c r="M47" s="11">
        <f t="shared" si="1"/>
        <v>380</v>
      </c>
      <c r="N47" s="82">
        <f>LOOKUP(M47,'ASI294-BIN-1specs'!$A$5:$A$45,'ASI294-BIN-1specs'!$M$5:$M$45)</f>
        <v>1.6298374013668711</v>
      </c>
      <c r="O47" s="54">
        <f t="shared" si="0"/>
        <v>36.813488234888162</v>
      </c>
      <c r="P47" s="55">
        <f>LOOKUP(M47,'ASI294-BIN-1specs'!$A$5:$A$45,'ASI294-BIN-1specs'!$AA$5:$AA$45)</f>
        <v>7.5132038902880041</v>
      </c>
      <c r="Q47" s="56">
        <f>LOOKUP(M47,'ASI294-BIN-1specs'!$A$5:$A$45,'ASI294-BIN-1specs'!$AC$5:$AC$45)</f>
        <v>8.3775877723442065</v>
      </c>
    </row>
    <row r="48" spans="2:18" x14ac:dyDescent="0.35">
      <c r="M48" s="11">
        <f t="shared" si="1"/>
        <v>390</v>
      </c>
      <c r="N48" s="82">
        <f>LOOKUP(M48,'ASI294-BIN-1specs'!$A$5:$A$45,'ASI294-BIN-1specs'!$M$5:$M$45)</f>
        <v>1.6048441622193648</v>
      </c>
      <c r="O48" s="54">
        <f t="shared" si="0"/>
        <v>37.386807649301623</v>
      </c>
      <c r="P48" s="55">
        <f>LOOKUP(M48,'ASI294-BIN-1specs'!$A$5:$A$45,'ASI294-BIN-1specs'!$AA$5:$AA$45)</f>
        <v>7.3487988775523254</v>
      </c>
      <c r="Q48" s="56">
        <f>LOOKUP(M48,'ASI294-BIN-1specs'!$A$5:$A$45,'ASI294-BIN-1specs'!$AC$5:$AC$45)</f>
        <v>8.3775877723442065</v>
      </c>
    </row>
    <row r="49" spans="13:17" ht="15" thickBot="1" x14ac:dyDescent="0.4">
      <c r="M49" s="57">
        <f t="shared" si="1"/>
        <v>400</v>
      </c>
      <c r="N49" s="83">
        <f>LOOKUP(M49,'ASI294-BIN-1specs'!$A$5:$A$45,'ASI294-BIN-1specs'!$M$5:$M$45)</f>
        <v>1.5710535939313708</v>
      </c>
      <c r="O49" s="58">
        <f t="shared" si="0"/>
        <v>38.190931379913835</v>
      </c>
      <c r="P49" s="59">
        <f>LOOKUP(M49,'ASI294-BIN-1specs'!$A$5:$A$45,'ASI294-BIN-1specs'!$AA$5:$AA$45)</f>
        <v>7.1924831972664673</v>
      </c>
      <c r="Q49" s="60">
        <f>LOOKUP(M49,'ASI294-BIN-1specs'!$A$5:$A$45,'ASI294-BIN-1specs'!$AC$5:$AC$45)</f>
        <v>8.3775877723442065</v>
      </c>
    </row>
  </sheetData>
  <mergeCells count="9">
    <mergeCell ref="C1:O1"/>
    <mergeCell ref="B3:O3"/>
    <mergeCell ref="P6:Q6"/>
    <mergeCell ref="M5:Q5"/>
    <mergeCell ref="G5:K5"/>
    <mergeCell ref="M4:Q4"/>
    <mergeCell ref="B4:E4"/>
    <mergeCell ref="G4:K4"/>
    <mergeCell ref="C2:O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Filters!$A$2:$A$23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3"/>
  <sheetViews>
    <sheetView topLeftCell="A4" workbookViewId="0">
      <selection activeCell="A2" sqref="A2:C23"/>
    </sheetView>
  </sheetViews>
  <sheetFormatPr defaultRowHeight="14.5" x14ac:dyDescent="0.35"/>
  <cols>
    <col min="1" max="1" width="20.54296875" customWidth="1"/>
  </cols>
  <sheetData>
    <row r="1" spans="1:3" x14ac:dyDescent="0.35">
      <c r="A1" s="97" t="s">
        <v>126</v>
      </c>
      <c r="B1" s="95" t="s">
        <v>127</v>
      </c>
      <c r="C1" s="95" t="s">
        <v>128</v>
      </c>
    </row>
    <row r="2" spans="1:3" x14ac:dyDescent="0.35">
      <c r="A2" s="13" t="s">
        <v>129</v>
      </c>
      <c r="B2" s="43">
        <v>450</v>
      </c>
      <c r="C2" s="42">
        <v>100</v>
      </c>
    </row>
    <row r="3" spans="1:3" x14ac:dyDescent="0.35">
      <c r="A3" s="13" t="s">
        <v>130</v>
      </c>
      <c r="B3" s="43">
        <v>550</v>
      </c>
      <c r="C3" s="42">
        <v>100</v>
      </c>
    </row>
    <row r="4" spans="1:3" x14ac:dyDescent="0.35">
      <c r="A4" s="13" t="s">
        <v>131</v>
      </c>
      <c r="B4" s="43">
        <v>656</v>
      </c>
      <c r="C4" s="42">
        <v>12</v>
      </c>
    </row>
    <row r="5" spans="1:3" x14ac:dyDescent="0.35">
      <c r="A5" s="13" t="s">
        <v>132</v>
      </c>
      <c r="B5" s="43">
        <v>656</v>
      </c>
      <c r="C5" s="42">
        <v>3</v>
      </c>
    </row>
    <row r="6" spans="1:3" x14ac:dyDescent="0.35">
      <c r="A6" s="13" t="s">
        <v>133</v>
      </c>
      <c r="B6" s="43">
        <v>656</v>
      </c>
      <c r="C6" s="42">
        <v>6</v>
      </c>
    </row>
    <row r="7" spans="1:3" x14ac:dyDescent="0.35">
      <c r="A7" s="13" t="s">
        <v>134</v>
      </c>
      <c r="B7" s="43">
        <v>656</v>
      </c>
      <c r="C7" s="42">
        <v>7</v>
      </c>
    </row>
    <row r="8" spans="1:3" x14ac:dyDescent="0.35">
      <c r="A8" s="13" t="s">
        <v>135</v>
      </c>
      <c r="B8" s="43">
        <v>578.5</v>
      </c>
      <c r="C8" s="42">
        <v>20</v>
      </c>
    </row>
    <row r="9" spans="1:3" x14ac:dyDescent="0.35">
      <c r="A9" s="13" t="s">
        <v>155</v>
      </c>
      <c r="B9" s="43">
        <v>526</v>
      </c>
      <c r="C9" s="42">
        <v>53</v>
      </c>
    </row>
    <row r="10" spans="1:3" x14ac:dyDescent="0.35">
      <c r="A10" s="13" t="s">
        <v>157</v>
      </c>
      <c r="B10" s="43">
        <f>((7*500.6) + (7*656.3))/14</f>
        <v>578.44999999999993</v>
      </c>
      <c r="C10" s="42">
        <v>14</v>
      </c>
    </row>
    <row r="11" spans="1:3" x14ac:dyDescent="0.35">
      <c r="A11" s="13" t="s">
        <v>136</v>
      </c>
      <c r="B11" s="43">
        <v>550</v>
      </c>
      <c r="C11" s="42">
        <v>300</v>
      </c>
    </row>
    <row r="12" spans="1:3" x14ac:dyDescent="0.35">
      <c r="A12" s="13" t="s">
        <v>137</v>
      </c>
      <c r="B12" s="43">
        <v>500</v>
      </c>
      <c r="C12" s="42">
        <v>12</v>
      </c>
    </row>
    <row r="13" spans="1:3" x14ac:dyDescent="0.35">
      <c r="A13" s="13" t="s">
        <v>138</v>
      </c>
      <c r="B13" s="43">
        <v>500</v>
      </c>
      <c r="C13" s="42">
        <v>3</v>
      </c>
    </row>
    <row r="14" spans="1:3" x14ac:dyDescent="0.35">
      <c r="A14" s="13" t="s">
        <v>139</v>
      </c>
      <c r="B14" s="43">
        <v>500</v>
      </c>
      <c r="C14" s="42">
        <v>6</v>
      </c>
    </row>
    <row r="15" spans="1:3" x14ac:dyDescent="0.35">
      <c r="A15" s="13" t="s">
        <v>140</v>
      </c>
      <c r="B15" s="43">
        <v>500</v>
      </c>
      <c r="C15" s="42">
        <v>7</v>
      </c>
    </row>
    <row r="16" spans="1:3" x14ac:dyDescent="0.35">
      <c r="A16" s="13" t="s">
        <v>141</v>
      </c>
      <c r="B16" s="43">
        <v>552</v>
      </c>
      <c r="C16" s="42">
        <v>30</v>
      </c>
    </row>
    <row r="17" spans="1:3" x14ac:dyDescent="0.35">
      <c r="A17" s="13" t="s">
        <v>142</v>
      </c>
      <c r="B17" s="43">
        <v>650</v>
      </c>
      <c r="C17" s="42">
        <v>100</v>
      </c>
    </row>
    <row r="18" spans="1:3" x14ac:dyDescent="0.35">
      <c r="A18" s="13" t="s">
        <v>143</v>
      </c>
      <c r="B18" s="43">
        <v>672</v>
      </c>
      <c r="C18" s="42">
        <v>12</v>
      </c>
    </row>
    <row r="19" spans="1:3" x14ac:dyDescent="0.35">
      <c r="A19" s="13" t="s">
        <v>144</v>
      </c>
      <c r="B19" s="43">
        <v>672</v>
      </c>
      <c r="C19" s="42">
        <v>3</v>
      </c>
    </row>
    <row r="20" spans="1:3" x14ac:dyDescent="0.35">
      <c r="A20" s="13" t="s">
        <v>145</v>
      </c>
      <c r="B20" s="43">
        <v>672</v>
      </c>
      <c r="C20" s="42">
        <v>6</v>
      </c>
    </row>
    <row r="21" spans="1:3" x14ac:dyDescent="0.35">
      <c r="A21" s="13" t="s">
        <v>146</v>
      </c>
      <c r="B21" s="43">
        <v>672</v>
      </c>
      <c r="C21" s="42">
        <v>7</v>
      </c>
    </row>
    <row r="22" spans="1:3" x14ac:dyDescent="0.35">
      <c r="A22" s="13" t="s">
        <v>147</v>
      </c>
      <c r="B22" s="43">
        <v>547.79999999999995</v>
      </c>
      <c r="C22" s="42">
        <v>13</v>
      </c>
    </row>
    <row r="23" spans="1:3" x14ac:dyDescent="0.35">
      <c r="A23" s="13" t="s">
        <v>148</v>
      </c>
      <c r="B23" s="43">
        <v>552</v>
      </c>
      <c r="C23" s="4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="85" zoomScaleNormal="85" workbookViewId="0">
      <selection activeCell="A21" sqref="A21"/>
    </sheetView>
  </sheetViews>
  <sheetFormatPr defaultRowHeight="14.5" x14ac:dyDescent="0.35"/>
  <cols>
    <col min="1" max="1" width="46.54296875" customWidth="1"/>
    <col min="2" max="2" width="22.1796875" customWidth="1"/>
    <col min="3" max="3" width="38" customWidth="1"/>
    <col min="4" max="4" width="32.1796875" customWidth="1"/>
  </cols>
  <sheetData>
    <row r="1" spans="1:11" ht="28.5" x14ac:dyDescent="0.65">
      <c r="A1" s="130" t="s">
        <v>53</v>
      </c>
      <c r="B1" s="130"/>
      <c r="C1" s="130"/>
      <c r="D1" s="130"/>
    </row>
    <row r="2" spans="1:11" ht="19.5" customHeight="1" x14ac:dyDescent="0.35">
      <c r="A2" s="133" t="s">
        <v>16</v>
      </c>
      <c r="B2" s="133"/>
      <c r="C2" s="133"/>
      <c r="D2" s="133"/>
    </row>
    <row r="4" spans="1:11" x14ac:dyDescent="0.35">
      <c r="B4" s="128" t="s">
        <v>3</v>
      </c>
      <c r="C4" s="129"/>
    </row>
    <row r="5" spans="1:11" ht="7.5" customHeight="1" x14ac:dyDescent="0.35">
      <c r="B5" s="18"/>
      <c r="C5" s="19"/>
    </row>
    <row r="6" spans="1:11" ht="53.25" customHeight="1" x14ac:dyDescent="0.35">
      <c r="B6" s="131"/>
      <c r="C6" s="132"/>
    </row>
    <row r="7" spans="1:11" x14ac:dyDescent="0.35">
      <c r="B7" s="16"/>
      <c r="C7" s="17"/>
      <c r="D7" t="s">
        <v>156</v>
      </c>
    </row>
    <row r="8" spans="1:11" x14ac:dyDescent="0.35">
      <c r="B8" s="18" t="s">
        <v>4</v>
      </c>
      <c r="C8" s="19" t="s">
        <v>5</v>
      </c>
    </row>
    <row r="9" spans="1:11" ht="13" customHeight="1" x14ac:dyDescent="0.35">
      <c r="B9" s="18"/>
      <c r="C9" s="19"/>
      <c r="E9" t="s">
        <v>70</v>
      </c>
      <c r="F9" t="s">
        <v>71</v>
      </c>
    </row>
    <row r="10" spans="1:11" x14ac:dyDescent="0.35">
      <c r="B10" s="18">
        <v>450</v>
      </c>
      <c r="C10" s="20">
        <v>0.57599999999999996</v>
      </c>
      <c r="D10" s="26"/>
      <c r="E10" s="12">
        <v>450</v>
      </c>
      <c r="F10" s="12">
        <v>0.57599999999999996</v>
      </c>
      <c r="G10" s="12"/>
      <c r="H10" s="12"/>
      <c r="I10" s="12"/>
      <c r="J10" s="12"/>
      <c r="K10" s="12"/>
    </row>
    <row r="11" spans="1:11" x14ac:dyDescent="0.35">
      <c r="B11" s="18" t="s">
        <v>15</v>
      </c>
      <c r="C11" s="19">
        <v>0.54900000000000004</v>
      </c>
      <c r="D11" s="26"/>
      <c r="E11" s="12">
        <v>550</v>
      </c>
      <c r="F11" s="51">
        <v>0.54</v>
      </c>
      <c r="G11" s="12"/>
      <c r="H11" s="12"/>
      <c r="I11" s="12"/>
      <c r="J11" s="12"/>
      <c r="K11" s="12"/>
    </row>
    <row r="12" spans="1:11" x14ac:dyDescent="0.35">
      <c r="B12" s="18">
        <v>550</v>
      </c>
      <c r="C12" s="20">
        <v>0.54</v>
      </c>
      <c r="D12" s="26"/>
      <c r="E12" s="12">
        <v>656</v>
      </c>
      <c r="F12" s="12">
        <v>0.49199999999999999</v>
      </c>
      <c r="G12" s="12"/>
      <c r="H12" s="12"/>
      <c r="I12" s="12"/>
      <c r="J12" s="12"/>
      <c r="K12" s="12"/>
    </row>
    <row r="13" spans="1:11" x14ac:dyDescent="0.35">
      <c r="B13" s="18">
        <v>650</v>
      </c>
      <c r="C13" s="20">
        <v>0.48399999999999999</v>
      </c>
      <c r="D13" s="26"/>
      <c r="E13" s="12"/>
      <c r="F13" s="12"/>
      <c r="G13" s="12"/>
      <c r="H13" s="12"/>
      <c r="I13" s="12"/>
      <c r="J13" s="12"/>
      <c r="K13" s="12"/>
    </row>
    <row r="14" spans="1:11" x14ac:dyDescent="0.35">
      <c r="B14" s="21" t="s">
        <v>14</v>
      </c>
      <c r="C14" s="22">
        <v>0.49199999999999999</v>
      </c>
      <c r="D14" s="26"/>
      <c r="E14" s="12"/>
      <c r="F14" s="12"/>
      <c r="G14" s="12"/>
      <c r="H14" s="12"/>
      <c r="I14" s="12"/>
      <c r="J14" s="12"/>
      <c r="K14" s="12"/>
    </row>
    <row r="16" spans="1:11" ht="27" customHeight="1" x14ac:dyDescent="0.35">
      <c r="A16" s="23" t="s">
        <v>13</v>
      </c>
      <c r="B16" s="25">
        <v>0.54</v>
      </c>
      <c r="C16" s="24" t="s">
        <v>2</v>
      </c>
    </row>
    <row r="18" spans="1:5" x14ac:dyDescent="0.35">
      <c r="A18" s="23" t="s">
        <v>17</v>
      </c>
      <c r="B18" s="14">
        <f>'Gain-Sub-Exp'!D6</f>
        <v>20.813514933408047</v>
      </c>
    </row>
    <row r="20" spans="1:5" x14ac:dyDescent="0.35">
      <c r="A20" s="23" t="s">
        <v>12</v>
      </c>
      <c r="B20" s="15">
        <f>'Gain-Sub-Exp'!D26</f>
        <v>0.48639535076796486</v>
      </c>
    </row>
    <row r="22" spans="1:5" x14ac:dyDescent="0.35">
      <c r="B22" s="13" t="s">
        <v>6</v>
      </c>
      <c r="C22" s="14">
        <f>'Gain-Sub-Exp'!D15</f>
        <v>100</v>
      </c>
      <c r="D22" t="s">
        <v>7</v>
      </c>
    </row>
    <row r="23" spans="1:5" x14ac:dyDescent="0.35">
      <c r="B23" s="13" t="s">
        <v>19</v>
      </c>
      <c r="C23" s="66">
        <f>'Gain-Sub-Exp'!D24</f>
        <v>0.90709188215740255</v>
      </c>
      <c r="D23" t="s">
        <v>8</v>
      </c>
    </row>
    <row r="24" spans="1:5" x14ac:dyDescent="0.35">
      <c r="B24" s="13" t="s">
        <v>9</v>
      </c>
      <c r="C24" s="14">
        <f>'Gain-Sub-Exp'!D8</f>
        <v>0.115</v>
      </c>
      <c r="D24" t="s">
        <v>10</v>
      </c>
    </row>
    <row r="25" spans="1:5" x14ac:dyDescent="0.35">
      <c r="B25" s="13" t="s">
        <v>0</v>
      </c>
      <c r="C25" s="14">
        <f>'Gain-Sub-Exp'!D17</f>
        <v>0.6</v>
      </c>
      <c r="D25" t="s">
        <v>11</v>
      </c>
    </row>
    <row r="27" spans="1:5" ht="26" x14ac:dyDescent="0.6">
      <c r="B27" s="27" t="s">
        <v>20</v>
      </c>
      <c r="C27" s="28">
        <f>C25*B20*C22*C23^2*(PI()*C24^2/4)</f>
        <v>0.24941857185499969</v>
      </c>
      <c r="D27" s="29" t="s">
        <v>18</v>
      </c>
    </row>
    <row r="29" spans="1:5" x14ac:dyDescent="0.35">
      <c r="A29" t="s">
        <v>103</v>
      </c>
    </row>
    <row r="30" spans="1:5" ht="16.5" x14ac:dyDescent="0.45">
      <c r="A30" s="72" t="s">
        <v>86</v>
      </c>
      <c r="B30" s="68"/>
      <c r="C30" s="68"/>
      <c r="D30" s="68"/>
      <c r="E30" s="68"/>
    </row>
    <row r="31" spans="1:5" x14ac:dyDescent="0.35">
      <c r="A31" s="72" t="s">
        <v>81</v>
      </c>
      <c r="B31" s="68"/>
      <c r="C31" s="68"/>
      <c r="D31" s="68"/>
      <c r="E31" s="68"/>
    </row>
    <row r="32" spans="1:5" x14ac:dyDescent="0.35">
      <c r="A32" s="72" t="s">
        <v>84</v>
      </c>
      <c r="B32" s="5"/>
      <c r="C32" s="5"/>
      <c r="D32" s="5"/>
      <c r="E32" s="5"/>
    </row>
    <row r="33" spans="2:5" x14ac:dyDescent="0.35">
      <c r="B33" s="68"/>
      <c r="C33" s="68"/>
      <c r="D33" s="68"/>
      <c r="E33" s="68"/>
    </row>
  </sheetData>
  <mergeCells count="4">
    <mergeCell ref="B4:C4"/>
    <mergeCell ref="A1:D1"/>
    <mergeCell ref="B6:C6"/>
    <mergeCell ref="A2:D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60"/>
  <sheetViews>
    <sheetView zoomScaleNormal="100" workbookViewId="0">
      <selection activeCell="I11" sqref="I11"/>
    </sheetView>
  </sheetViews>
  <sheetFormatPr defaultRowHeight="14.5" x14ac:dyDescent="0.35"/>
  <cols>
    <col min="1" max="1" width="9.1796875" style="30"/>
    <col min="2" max="2" width="9.1796875" style="12"/>
    <col min="3" max="3" width="9.453125" style="12" bestFit="1" customWidth="1"/>
    <col min="4" max="4" width="8.81640625" style="12" customWidth="1"/>
    <col min="5" max="5" width="9.1796875" style="12"/>
    <col min="6" max="6" width="1.1796875" style="12" customWidth="1"/>
    <col min="7" max="7" width="7" style="12" customWidth="1"/>
    <col min="8" max="8" width="1.1796875" style="12" customWidth="1"/>
    <col min="9" max="9" width="9.1796875" style="12"/>
    <col min="10" max="10" width="9.1796875" style="30"/>
    <col min="11" max="11" width="1.1796875" style="30" customWidth="1"/>
    <col min="12" max="12" width="11.81640625" style="12" customWidth="1"/>
    <col min="13" max="13" width="12.453125" style="12" bestFit="1" customWidth="1"/>
    <col min="14" max="14" width="1.81640625" customWidth="1"/>
    <col min="15" max="15" width="7.81640625" style="12" customWidth="1"/>
    <col min="16" max="16" width="9.1796875" style="12"/>
    <col min="17" max="17" width="1.81640625" style="12" customWidth="1"/>
    <col min="18" max="18" width="11.81640625" style="12" customWidth="1"/>
    <col min="19" max="19" width="10.54296875" style="12" customWidth="1"/>
    <col min="20" max="20" width="2" customWidth="1"/>
    <col min="21" max="23" width="9.1796875" style="12"/>
    <col min="24" max="24" width="2.1796875" style="12" customWidth="1"/>
    <col min="25" max="25" width="9.1796875" style="12"/>
    <col min="26" max="26" width="2.453125" customWidth="1"/>
    <col min="27" max="27" width="9.1796875" style="30"/>
    <col min="28" max="28" width="2.1796875" customWidth="1"/>
    <col min="30" max="30" width="1.1796875" customWidth="1"/>
    <col min="31" max="31" width="10.1796875" customWidth="1"/>
    <col min="32" max="32" width="10.81640625" customWidth="1"/>
  </cols>
  <sheetData>
    <row r="1" spans="1:32" ht="43.5" customHeight="1" x14ac:dyDescent="0.35">
      <c r="A1" s="34" t="s">
        <v>104</v>
      </c>
      <c r="P1" s="31" t="s">
        <v>21</v>
      </c>
      <c r="Q1" s="31"/>
      <c r="R1" s="31" t="s">
        <v>22</v>
      </c>
      <c r="W1" s="32"/>
      <c r="AB1" s="33"/>
      <c r="AC1" s="31" t="s">
        <v>23</v>
      </c>
    </row>
    <row r="2" spans="1:32" ht="25.5" customHeight="1" x14ac:dyDescent="0.35">
      <c r="A2" s="137" t="s">
        <v>24</v>
      </c>
      <c r="B2" s="137"/>
      <c r="C2" s="137"/>
      <c r="D2" s="137"/>
      <c r="E2" s="137"/>
      <c r="F2" s="137"/>
      <c r="G2" s="137"/>
      <c r="H2" s="30"/>
      <c r="P2" s="67">
        <f>'Gain-Sub-Exp'!D12</f>
        <v>7.146663949999997E-4</v>
      </c>
      <c r="Q2" s="10"/>
      <c r="R2" s="67">
        <f>'Gain-Sub-Exp'!D27</f>
        <v>0.24941857185499969</v>
      </c>
      <c r="W2" s="32"/>
      <c r="AC2" s="67">
        <f>'Gain-Sub-Exp'!D32</f>
        <v>8.3624422756426911E-2</v>
      </c>
    </row>
    <row r="3" spans="1:32" ht="6.75" customHeight="1" x14ac:dyDescent="0.35">
      <c r="A3" s="34"/>
      <c r="W3" s="32"/>
    </row>
    <row r="4" spans="1:32" ht="44.5" x14ac:dyDescent="0.45">
      <c r="A4" s="35" t="s">
        <v>25</v>
      </c>
      <c r="B4" s="36" t="s">
        <v>26</v>
      </c>
      <c r="C4" s="36" t="s">
        <v>27</v>
      </c>
      <c r="D4" s="12" t="s">
        <v>28</v>
      </c>
      <c r="E4" s="36" t="s">
        <v>29</v>
      </c>
      <c r="G4" s="36" t="s">
        <v>30</v>
      </c>
      <c r="H4" s="36"/>
      <c r="I4" s="36" t="s">
        <v>116</v>
      </c>
      <c r="J4" s="31" t="s">
        <v>31</v>
      </c>
      <c r="K4" s="37"/>
      <c r="L4" s="36" t="s">
        <v>32</v>
      </c>
      <c r="M4" s="36" t="s">
        <v>33</v>
      </c>
      <c r="O4" s="12" t="s">
        <v>34</v>
      </c>
      <c r="P4" s="36" t="s">
        <v>35</v>
      </c>
      <c r="Q4" s="36"/>
      <c r="R4" s="36" t="s">
        <v>36</v>
      </c>
      <c r="S4" s="36" t="s">
        <v>37</v>
      </c>
      <c r="U4" s="12" t="s">
        <v>38</v>
      </c>
      <c r="V4" s="12" t="s">
        <v>39</v>
      </c>
      <c r="W4" s="12" t="s">
        <v>40</v>
      </c>
      <c r="X4" s="36"/>
      <c r="Y4" s="12" t="s">
        <v>41</v>
      </c>
      <c r="AA4" s="30" t="s">
        <v>42</v>
      </c>
      <c r="AC4" s="35" t="s">
        <v>43</v>
      </c>
      <c r="AE4" s="30"/>
      <c r="AF4" s="38"/>
    </row>
    <row r="5" spans="1:32" x14ac:dyDescent="0.35">
      <c r="A5" s="37">
        <v>0</v>
      </c>
      <c r="B5" s="39">
        <f>0.00000000022587*A5^4 - 0.00000030867*A5^3 + 0.00015765*A5^2 - 0.036866*A5 + 3.5176</f>
        <v>3.5175999999999998</v>
      </c>
      <c r="C5" s="40">
        <f>14622.62278*EXP(-0.01153*A5)</f>
        <v>14622.62278</v>
      </c>
      <c r="D5" s="41">
        <f xml:space="preserve"> 0.000000057532*A5^3 - 0.000047103*A5^2 - 0.004011*A5 + 12.061</f>
        <v>12.061</v>
      </c>
      <c r="E5" s="41">
        <f xml:space="preserve"> -0.000000000083384*A5^4 + 0.000000031085*A5^3 + 0.00001783*A5^2 - 0.0097177*A5 + 2.7128</f>
        <v>2.7128000000000001</v>
      </c>
      <c r="G5" s="42">
        <v>10</v>
      </c>
      <c r="H5" s="42"/>
      <c r="I5" s="43">
        <f>5*G5</f>
        <v>50</v>
      </c>
      <c r="J5" s="40">
        <f t="shared" ref="J5:J20" si="0">I5*B5</f>
        <v>175.88</v>
      </c>
      <c r="K5" s="40"/>
      <c r="L5" s="42">
        <f>'Gain-Sub-Exp'!$D$19*E5^2/$R$2</f>
        <v>295.05757270867321</v>
      </c>
      <c r="M5" s="43">
        <f>L5/60</f>
        <v>4.9176262118112204</v>
      </c>
      <c r="O5" s="43">
        <f>('Gain-Sub-Exp'!O9)</f>
        <v>12.201008660619873</v>
      </c>
      <c r="P5" s="43">
        <f t="shared" ref="P5:P20" si="1">$P$2*L5</f>
        <v>0.21086773180515778</v>
      </c>
      <c r="Q5" s="43"/>
      <c r="R5" s="42">
        <f>$R$2*L5</f>
        <v>73.592838400000005</v>
      </c>
      <c r="S5" s="43">
        <f>R5/E5^2</f>
        <v>10</v>
      </c>
      <c r="U5" s="42">
        <f>C5-(J5+P5+R5)</f>
        <v>14372.939073868194</v>
      </c>
      <c r="V5" s="43">
        <f>SQRT(R5+P5+E5^2)</f>
        <v>9.0090504478443876</v>
      </c>
      <c r="W5" s="43">
        <f t="shared" ref="W5:W20" si="2">20*LOG(U5/V5)/6</f>
        <v>10.676221885975124</v>
      </c>
      <c r="X5" s="43"/>
      <c r="Y5" s="43">
        <f t="shared" ref="Y5:Y20" si="3">V5/SQRT(O5)</f>
        <v>2.5791770228580027</v>
      </c>
      <c r="AA5" s="44">
        <f>LOG(SQRT(O5)*(U5/V5))/LOG(2)</f>
        <v>12.444156686875218</v>
      </c>
      <c r="AC5" s="44">
        <f t="shared" ref="AC5:AC20" si="4">(O5*$AC$2*L5)/SQRT(O5*(($AC$2*L5)+R5+P5+E5^2))</f>
        <v>8.3775877723442065</v>
      </c>
      <c r="AE5" s="45"/>
    </row>
    <row r="6" spans="1:32" x14ac:dyDescent="0.35">
      <c r="A6" s="37">
        <f>A5+10</f>
        <v>10</v>
      </c>
      <c r="B6" s="39">
        <f t="shared" ref="B6:B45" si="5">0.00000000022587*A6^4 - 0.00000030867*A6^3 + 0.00015765*A6^2 - 0.036866*A6 + 3.5176</f>
        <v>3.1643985886999997</v>
      </c>
      <c r="C6" s="40">
        <f t="shared" ref="C6:C45" si="6">14622.62278*EXP(-0.01153*A6)</f>
        <v>13030.201234424767</v>
      </c>
      <c r="D6" s="41">
        <f t="shared" ref="D6:D45" si="7" xml:space="preserve"> 0.000000057532*A6^3 - 0.000047103*A6^2 - 0.004011*A6 + 12.061</f>
        <v>12.016237232</v>
      </c>
      <c r="E6" s="41">
        <f t="shared" ref="E6:E45" si="8" xml:space="preserve"> -0.000000000083384*A6^4 + 0.000000031085*A6^3 + 0.00001783*A6^2 - 0.0097177*A6 + 2.7128</f>
        <v>2.61743625116</v>
      </c>
      <c r="G6" s="42">
        <v>10</v>
      </c>
      <c r="H6" s="42"/>
      <c r="I6" s="43">
        <f t="shared" ref="I6:I20" si="9">5*G6</f>
        <v>50</v>
      </c>
      <c r="J6" s="40">
        <f t="shared" si="0"/>
        <v>158.21992943499998</v>
      </c>
      <c r="K6" s="40"/>
      <c r="L6" s="42">
        <f>'Gain-Sub-Exp'!$D$19*E6^2/$R$2</f>
        <v>274.67772259033501</v>
      </c>
      <c r="M6" s="43">
        <f t="shared" ref="M6:M20" si="10">L6/60</f>
        <v>4.5779620431722501</v>
      </c>
      <c r="O6" s="43">
        <f>('Gain-Sub-Exp'!O10)</f>
        <v>13.10626856102626</v>
      </c>
      <c r="P6" s="43">
        <f t="shared" si="1"/>
        <v>0.19630293779044469</v>
      </c>
      <c r="Q6" s="43"/>
      <c r="R6" s="42">
        <f t="shared" ref="R6:R20" si="11">$R$2*L6</f>
        <v>68.509725288865141</v>
      </c>
      <c r="S6" s="43">
        <f t="shared" ref="S6:S20" si="12">R6/E6^2</f>
        <v>10</v>
      </c>
      <c r="U6" s="42">
        <f t="shared" ref="U6:U20" si="13">C6-(J6+P6+R6)</f>
        <v>12803.275276763112</v>
      </c>
      <c r="V6" s="43">
        <f t="shared" ref="V6:V20" si="14">SQRT(R6+P6+E6^2)</f>
        <v>8.6923530045403758</v>
      </c>
      <c r="W6" s="43">
        <f t="shared" si="2"/>
        <v>10.560612426760509</v>
      </c>
      <c r="X6" s="43"/>
      <c r="Y6" s="43">
        <f t="shared" si="3"/>
        <v>2.4010313115923356</v>
      </c>
      <c r="AA6" s="44">
        <f t="shared" ref="AA6:AA20" si="15">LOG(SQRT(O6)*(U6/V6))/LOG(2)</f>
        <v>12.380571083075477</v>
      </c>
      <c r="AC6" s="44">
        <f t="shared" si="4"/>
        <v>8.3775877723442083</v>
      </c>
      <c r="AE6" s="45"/>
      <c r="AF6" s="45"/>
    </row>
    <row r="7" spans="1:32" x14ac:dyDescent="0.35">
      <c r="A7" s="37">
        <f t="shared" ref="A7:A45" si="16">A6+10</f>
        <v>20</v>
      </c>
      <c r="B7" s="39">
        <f t="shared" si="5"/>
        <v>2.8409067792</v>
      </c>
      <c r="C7" s="40">
        <f t="shared" si="6"/>
        <v>11611.196347198989</v>
      </c>
      <c r="D7" s="41">
        <f t="shared" si="7"/>
        <v>11.962399056000001</v>
      </c>
      <c r="E7" s="41">
        <f t="shared" si="8"/>
        <v>2.5258133385599999</v>
      </c>
      <c r="G7" s="42">
        <v>10</v>
      </c>
      <c r="H7" s="42"/>
      <c r="I7" s="43">
        <f t="shared" si="9"/>
        <v>50</v>
      </c>
      <c r="J7" s="40">
        <f t="shared" si="0"/>
        <v>142.04533896000001</v>
      </c>
      <c r="K7" s="40"/>
      <c r="L7" s="42">
        <f>'Gain-Sub-Exp'!$D$19*E7^2/$R$2</f>
        <v>255.78420138483077</v>
      </c>
      <c r="M7" s="43">
        <f t="shared" si="10"/>
        <v>4.2630700230805125</v>
      </c>
      <c r="O7" s="43">
        <f>('Gain-Sub-Exp'!O11)</f>
        <v>14.074364173038786</v>
      </c>
      <c r="P7" s="43">
        <f t="shared" si="1"/>
        <v>0.18280037310165093</v>
      </c>
      <c r="Q7" s="43"/>
      <c r="R7" s="42">
        <f t="shared" si="11"/>
        <v>63.797330212476126</v>
      </c>
      <c r="S7" s="43">
        <f t="shared" si="12"/>
        <v>10</v>
      </c>
      <c r="U7" s="42">
        <f t="shared" si="13"/>
        <v>11405.170877653412</v>
      </c>
      <c r="V7" s="43">
        <f t="shared" si="14"/>
        <v>8.3880786600284925</v>
      </c>
      <c r="W7" s="43">
        <f t="shared" si="2"/>
        <v>10.444797673383079</v>
      </c>
      <c r="X7" s="43"/>
      <c r="Y7" s="43">
        <f t="shared" si="3"/>
        <v>2.2358779982007473</v>
      </c>
      <c r="AA7" s="44">
        <f t="shared" si="15"/>
        <v>12.316558972545913</v>
      </c>
      <c r="AC7" s="44">
        <f t="shared" si="4"/>
        <v>8.3775877723442065</v>
      </c>
      <c r="AE7" s="45"/>
      <c r="AF7" s="45"/>
    </row>
    <row r="8" spans="1:32" x14ac:dyDescent="0.35">
      <c r="A8" s="37">
        <f t="shared" si="16"/>
        <v>30</v>
      </c>
      <c r="B8" s="39">
        <f t="shared" si="5"/>
        <v>2.5453538646999996</v>
      </c>
      <c r="C8" s="40">
        <f t="shared" si="6"/>
        <v>10346.722831649262</v>
      </c>
      <c r="D8" s="41">
        <f t="shared" si="7"/>
        <v>11.899830664</v>
      </c>
      <c r="E8" s="41">
        <f t="shared" si="8"/>
        <v>2.4380877539600001</v>
      </c>
      <c r="G8" s="42">
        <v>10</v>
      </c>
      <c r="H8" s="42"/>
      <c r="I8" s="43">
        <f t="shared" si="9"/>
        <v>50</v>
      </c>
      <c r="J8" s="40">
        <f t="shared" si="0"/>
        <v>127.26769323499998</v>
      </c>
      <c r="K8" s="40"/>
      <c r="L8" s="42">
        <f>'Gain-Sub-Exp'!$D$19*E8^2/$R$2</f>
        <v>238.32515164369715</v>
      </c>
      <c r="M8" s="43">
        <f t="shared" si="10"/>
        <v>3.9720858607282858</v>
      </c>
      <c r="O8" s="43">
        <f>('Gain-Sub-Exp'!O12)</f>
        <v>15.105413655131549</v>
      </c>
      <c r="P8" s="43">
        <f t="shared" si="1"/>
        <v>0.17032297696302931</v>
      </c>
      <c r="Q8" s="43"/>
      <c r="R8" s="42">
        <f t="shared" si="11"/>
        <v>59.442718960097174</v>
      </c>
      <c r="S8" s="43">
        <f t="shared" si="12"/>
        <v>10</v>
      </c>
      <c r="U8" s="42">
        <f t="shared" si="13"/>
        <v>10159.842096477201</v>
      </c>
      <c r="V8" s="43">
        <f t="shared" si="14"/>
        <v>8.0967471143089256</v>
      </c>
      <c r="W8" s="43">
        <f t="shared" si="2"/>
        <v>10.328587943527365</v>
      </c>
      <c r="X8" s="43"/>
      <c r="Y8" s="43">
        <f t="shared" si="3"/>
        <v>2.0832637828803784</v>
      </c>
      <c r="AA8" s="44">
        <f t="shared" si="15"/>
        <v>12.251744834568267</v>
      </c>
      <c r="AC8" s="44">
        <f t="shared" si="4"/>
        <v>8.3775877723442047</v>
      </c>
      <c r="AE8" s="45"/>
      <c r="AF8" s="45"/>
    </row>
    <row r="9" spans="1:32" x14ac:dyDescent="0.35">
      <c r="A9" s="37">
        <f t="shared" si="16"/>
        <v>40</v>
      </c>
      <c r="B9" s="39">
        <f t="shared" si="5"/>
        <v>2.2760233471999998</v>
      </c>
      <c r="C9" s="40">
        <f t="shared" si="6"/>
        <v>9219.95203197105</v>
      </c>
      <c r="D9" s="41">
        <f t="shared" si="7"/>
        <v>11.828877248</v>
      </c>
      <c r="E9" s="41">
        <f t="shared" si="8"/>
        <v>2.3543959769600002</v>
      </c>
      <c r="G9" s="42">
        <v>10</v>
      </c>
      <c r="H9" s="42"/>
      <c r="I9" s="43">
        <f t="shared" si="9"/>
        <v>50</v>
      </c>
      <c r="J9" s="40">
        <f t="shared" si="0"/>
        <v>113.80116735999999</v>
      </c>
      <c r="K9" s="40"/>
      <c r="L9" s="42">
        <f>'Gain-Sub-Exp'!$D$19*E9^2/$R$2</f>
        <v>222.24409253485663</v>
      </c>
      <c r="M9" s="43">
        <f t="shared" si="10"/>
        <v>3.7040682089142773</v>
      </c>
      <c r="O9" s="43">
        <f>('Gain-Sub-Exp'!O13)</f>
        <v>16.198405811103292</v>
      </c>
      <c r="P9" s="43">
        <f t="shared" si="1"/>
        <v>0.15883038442193234</v>
      </c>
      <c r="Q9" s="43"/>
      <c r="R9" s="42">
        <f t="shared" si="11"/>
        <v>55.431804163254341</v>
      </c>
      <c r="S9" s="43">
        <f t="shared" si="12"/>
        <v>10</v>
      </c>
      <c r="U9" s="42">
        <f t="shared" si="13"/>
        <v>9050.5602300633745</v>
      </c>
      <c r="V9" s="43">
        <f t="shared" si="14"/>
        <v>7.8188116081666594</v>
      </c>
      <c r="W9" s="43">
        <f t="shared" si="2"/>
        <v>10.211782379395599</v>
      </c>
      <c r="X9" s="43"/>
      <c r="Y9" s="43">
        <f t="shared" si="3"/>
        <v>1.9426949515977656</v>
      </c>
      <c r="AA9" s="44">
        <f t="shared" si="15"/>
        <v>12.185732000557744</v>
      </c>
      <c r="AC9" s="44">
        <f t="shared" si="4"/>
        <v>8.3775877723442065</v>
      </c>
      <c r="AE9" s="45"/>
      <c r="AF9" s="45"/>
    </row>
    <row r="10" spans="1:32" x14ac:dyDescent="0.35">
      <c r="A10" s="37">
        <f t="shared" si="16"/>
        <v>50</v>
      </c>
      <c r="B10" s="39">
        <f t="shared" si="5"/>
        <v>2.0312529374999997</v>
      </c>
      <c r="C10" s="40">
        <f t="shared" si="6"/>
        <v>8215.887953605974</v>
      </c>
      <c r="D10" s="41">
        <f t="shared" si="7"/>
        <v>11.749884</v>
      </c>
      <c r="E10" s="41">
        <f t="shared" si="8"/>
        <v>2.2748544750000002</v>
      </c>
      <c r="G10" s="42">
        <v>10</v>
      </c>
      <c r="H10" s="42"/>
      <c r="I10" s="43">
        <f t="shared" si="9"/>
        <v>50</v>
      </c>
      <c r="J10" s="40">
        <f t="shared" si="0"/>
        <v>101.56264687499998</v>
      </c>
      <c r="K10" s="40"/>
      <c r="L10" s="42">
        <f>'Gain-Sub-Exp'!$D$19*E10^2/$R$2</f>
        <v>207.4810566005489</v>
      </c>
      <c r="M10" s="43">
        <f t="shared" si="10"/>
        <v>3.4580176100091484</v>
      </c>
      <c r="O10" s="43">
        <f>('Gain-Sub-Exp'!O14)</f>
        <v>17.350981622051737</v>
      </c>
      <c r="P10" s="43">
        <f t="shared" si="1"/>
        <v>0.14827973875150519</v>
      </c>
      <c r="Q10" s="43"/>
      <c r="R10" s="42">
        <f t="shared" si="11"/>
        <v>51.749628824275263</v>
      </c>
      <c r="S10" s="43">
        <f t="shared" si="12"/>
        <v>10</v>
      </c>
      <c r="U10" s="42">
        <f t="shared" si="13"/>
        <v>8062.4273981679471</v>
      </c>
      <c r="V10" s="43">
        <f t="shared" si="14"/>
        <v>7.5546589231714689</v>
      </c>
      <c r="W10" s="43">
        <f t="shared" si="2"/>
        <v>10.094169850712936</v>
      </c>
      <c r="X10" s="43"/>
      <c r="Y10" s="43">
        <f t="shared" si="3"/>
        <v>1.8136473127934276</v>
      </c>
      <c r="AA10" s="44">
        <f t="shared" si="15"/>
        <v>12.118104616325679</v>
      </c>
      <c r="AC10" s="44">
        <f t="shared" si="4"/>
        <v>8.3775877723442065</v>
      </c>
      <c r="AE10" s="45"/>
      <c r="AF10" s="45"/>
    </row>
    <row r="11" spans="1:32" x14ac:dyDescent="0.35">
      <c r="A11" s="37">
        <f t="shared" si="16"/>
        <v>60</v>
      </c>
      <c r="B11" s="39">
        <f t="shared" si="5"/>
        <v>1.8094345551999995</v>
      </c>
      <c r="C11" s="40">
        <f t="shared" si="6"/>
        <v>7321.167684185597</v>
      </c>
      <c r="D11" s="41">
        <f t="shared" si="7"/>
        <v>11.663196112</v>
      </c>
      <c r="E11" s="41">
        <f t="shared" si="8"/>
        <v>2.1995597033600003</v>
      </c>
      <c r="G11" s="42">
        <v>10</v>
      </c>
      <c r="H11" s="42"/>
      <c r="I11" s="43">
        <f t="shared" si="9"/>
        <v>50</v>
      </c>
      <c r="J11" s="40">
        <f t="shared" si="0"/>
        <v>90.471727759999979</v>
      </c>
      <c r="K11" s="40"/>
      <c r="L11" s="42">
        <f>'Gain-Sub-Exp'!$D$19*E11^2/$R$2</f>
        <v>193.97364248632442</v>
      </c>
      <c r="M11" s="43">
        <f t="shared" si="10"/>
        <v>3.2328940414387404</v>
      </c>
      <c r="O11" s="43">
        <f>('Gain-Sub-Exp'!O15)</f>
        <v>18.559222551351574</v>
      </c>
      <c r="P11" s="43">
        <f t="shared" si="1"/>
        <v>0.13862644380072026</v>
      </c>
      <c r="Q11" s="43"/>
      <c r="R11" s="42">
        <f t="shared" si="11"/>
        <v>48.380628886451326</v>
      </c>
      <c r="S11" s="43">
        <f t="shared" si="12"/>
        <v>10</v>
      </c>
      <c r="U11" s="42">
        <f t="shared" si="13"/>
        <v>7182.1767010953445</v>
      </c>
      <c r="V11" s="43">
        <f t="shared" si="14"/>
        <v>7.3046093816779267</v>
      </c>
      <c r="W11" s="43">
        <f t="shared" si="2"/>
        <v>9.9755302967057933</v>
      </c>
      <c r="X11" s="43"/>
      <c r="Y11" s="43">
        <f t="shared" si="3"/>
        <v>1.6955753995670786</v>
      </c>
      <c r="AA11" s="44">
        <f t="shared" si="15"/>
        <v>12.048430492160351</v>
      </c>
      <c r="AC11" s="44">
        <f t="shared" si="4"/>
        <v>8.3775877723442083</v>
      </c>
      <c r="AE11" s="45"/>
      <c r="AF11" s="45"/>
    </row>
    <row r="12" spans="1:32" x14ac:dyDescent="0.35">
      <c r="A12" s="37">
        <f t="shared" si="16"/>
        <v>70</v>
      </c>
      <c r="B12" s="39">
        <f t="shared" si="5"/>
        <v>1.6090143286999998</v>
      </c>
      <c r="C12" s="40">
        <f t="shared" si="6"/>
        <v>6523.8835488790373</v>
      </c>
      <c r="D12" s="41">
        <f t="shared" si="7"/>
        <v>11.569158776</v>
      </c>
      <c r="E12" s="41">
        <f t="shared" si="8"/>
        <v>2.1285881051600004</v>
      </c>
      <c r="G12" s="42">
        <v>10</v>
      </c>
      <c r="H12" s="42"/>
      <c r="I12" s="43">
        <f t="shared" si="9"/>
        <v>50</v>
      </c>
      <c r="J12" s="40">
        <f t="shared" si="0"/>
        <v>80.45071643499999</v>
      </c>
      <c r="K12" s="40"/>
      <c r="L12" s="42">
        <f>'Gain-Sub-Exp'!$D$19*E12^2/$R$2</f>
        <v>181.65797709974407</v>
      </c>
      <c r="M12" s="43">
        <f t="shared" si="10"/>
        <v>3.0276329516624014</v>
      </c>
      <c r="O12" s="43">
        <f>('Gain-Sub-Exp'!O16)</f>
        <v>19.817461679777075</v>
      </c>
      <c r="P12" s="43">
        <f t="shared" si="1"/>
        <v>0.1298248516168666</v>
      </c>
      <c r="Q12" s="43"/>
      <c r="R12" s="42">
        <f t="shared" si="11"/>
        <v>45.308873214286407</v>
      </c>
      <c r="S12" s="43">
        <f t="shared" si="12"/>
        <v>10</v>
      </c>
      <c r="U12" s="42">
        <f t="shared" si="13"/>
        <v>6397.9941343781338</v>
      </c>
      <c r="V12" s="43">
        <f t="shared" si="14"/>
        <v>7.0689168468253971</v>
      </c>
      <c r="W12" s="43">
        <f t="shared" si="2"/>
        <v>9.8556365486608595</v>
      </c>
      <c r="X12" s="43"/>
      <c r="Y12" s="43">
        <f t="shared" si="3"/>
        <v>1.5879208801637135</v>
      </c>
      <c r="AA12" s="44">
        <f t="shared" si="15"/>
        <v>11.976264924000493</v>
      </c>
      <c r="AC12" s="44">
        <f t="shared" si="4"/>
        <v>8.3775877723442065</v>
      </c>
      <c r="AE12" s="45"/>
      <c r="AF12" s="45"/>
    </row>
    <row r="13" spans="1:32" x14ac:dyDescent="0.35">
      <c r="A13" s="37">
        <f t="shared" si="16"/>
        <v>80</v>
      </c>
      <c r="B13" s="39">
        <f t="shared" si="5"/>
        <v>1.4284925951999998</v>
      </c>
      <c r="C13" s="40">
        <f t="shared" si="6"/>
        <v>5813.4246332412786</v>
      </c>
      <c r="D13" s="41">
        <f t="shared" si="7"/>
        <v>11.468117184</v>
      </c>
      <c r="E13" s="41">
        <f t="shared" si="8"/>
        <v>2.0619961113600001</v>
      </c>
      <c r="G13" s="42">
        <v>10</v>
      </c>
      <c r="H13" s="42"/>
      <c r="I13" s="43">
        <f t="shared" si="9"/>
        <v>50</v>
      </c>
      <c r="J13" s="40">
        <f t="shared" si="0"/>
        <v>71.424629759999988</v>
      </c>
      <c r="K13" s="40"/>
      <c r="L13" s="42">
        <f>'Gain-Sub-Exp'!$D$19*E13^2/$R$2</f>
        <v>170.46958178140704</v>
      </c>
      <c r="M13" s="43">
        <f t="shared" si="10"/>
        <v>2.841159696356784</v>
      </c>
      <c r="O13" s="43">
        <f>('Gain-Sub-Exp'!O17)</f>
        <v>21.118137103288468</v>
      </c>
      <c r="P13" s="43">
        <f t="shared" si="1"/>
        <v>0.1218288814688758</v>
      </c>
      <c r="Q13" s="43"/>
      <c r="R13" s="42">
        <f t="shared" si="11"/>
        <v>42.518279632637615</v>
      </c>
      <c r="S13" s="43">
        <f t="shared" si="12"/>
        <v>10</v>
      </c>
      <c r="U13" s="42">
        <f t="shared" si="13"/>
        <v>5699.3598949671723</v>
      </c>
      <c r="V13" s="43">
        <f t="shared" si="14"/>
        <v>6.8477687225380395</v>
      </c>
      <c r="W13" s="43">
        <f t="shared" si="2"/>
        <v>9.7342566601514147</v>
      </c>
      <c r="X13" s="43"/>
      <c r="Y13" s="43">
        <f t="shared" si="3"/>
        <v>1.4901201294058302</v>
      </c>
      <c r="AA13" s="44">
        <f t="shared" si="15"/>
        <v>11.901155539945082</v>
      </c>
      <c r="AC13" s="44">
        <f t="shared" si="4"/>
        <v>8.3775877723442065</v>
      </c>
      <c r="AE13" s="45"/>
      <c r="AF13" s="45"/>
    </row>
    <row r="14" spans="1:32" x14ac:dyDescent="0.35">
      <c r="A14" s="37">
        <f t="shared" si="16"/>
        <v>90</v>
      </c>
      <c r="B14" s="39">
        <f t="shared" si="5"/>
        <v>1.2664239006999995</v>
      </c>
      <c r="C14" s="40">
        <f t="shared" si="6"/>
        <v>5180.3355644175253</v>
      </c>
      <c r="D14" s="41">
        <f t="shared" si="7"/>
        <v>11.360416528</v>
      </c>
      <c r="E14" s="41">
        <f t="shared" si="8"/>
        <v>1.9998201407600003</v>
      </c>
      <c r="G14" s="42">
        <v>10</v>
      </c>
      <c r="H14" s="42"/>
      <c r="I14" s="43">
        <f t="shared" si="9"/>
        <v>50</v>
      </c>
      <c r="J14" s="40">
        <f t="shared" si="0"/>
        <v>63.321195034999974</v>
      </c>
      <c r="K14" s="40"/>
      <c r="L14" s="42">
        <f>'Gain-Sub-Exp'!$D$19*E14^2/$R$2</f>
        <v>160.34413819490325</v>
      </c>
      <c r="M14" s="43">
        <f t="shared" si="10"/>
        <v>2.6724023032483877</v>
      </c>
      <c r="O14" s="43">
        <f>('Gain-Sub-Exp'!O18)</f>
        <v>22.451709432770713</v>
      </c>
      <c r="P14" s="43">
        <f t="shared" si="1"/>
        <v>0.11459256720313327</v>
      </c>
      <c r="Q14" s="43"/>
      <c r="R14" s="42">
        <f t="shared" si="11"/>
        <v>39.992805953893473</v>
      </c>
      <c r="S14" s="43">
        <f t="shared" si="12"/>
        <v>10</v>
      </c>
      <c r="U14" s="42">
        <f t="shared" si="13"/>
        <v>5076.9069708614288</v>
      </c>
      <c r="V14" s="43">
        <f t="shared" si="14"/>
        <v>6.6412859535248101</v>
      </c>
      <c r="W14" s="43">
        <f t="shared" si="2"/>
        <v>9.6111567514555922</v>
      </c>
      <c r="X14" s="43"/>
      <c r="Y14" s="43">
        <f t="shared" si="3"/>
        <v>1.4016109235419945</v>
      </c>
      <c r="AA14" s="44">
        <f t="shared" si="15"/>
        <v>11.822648185228505</v>
      </c>
      <c r="AC14" s="44">
        <f t="shared" si="4"/>
        <v>8.3775877723442065</v>
      </c>
      <c r="AE14" s="45"/>
      <c r="AF14" s="45"/>
    </row>
    <row r="15" spans="1:32" x14ac:dyDescent="0.35">
      <c r="A15" s="37">
        <f t="shared" si="16"/>
        <v>100</v>
      </c>
      <c r="B15" s="39">
        <f t="shared" si="5"/>
        <v>1.1214169999999997</v>
      </c>
      <c r="C15" s="40">
        <f t="shared" si="6"/>
        <v>4616.1906712475393</v>
      </c>
      <c r="D15" s="41">
        <f t="shared" si="7"/>
        <v>11.246402</v>
      </c>
      <c r="E15" s="41">
        <f t="shared" si="8"/>
        <v>1.9420766000000003</v>
      </c>
      <c r="G15" s="42">
        <v>10</v>
      </c>
      <c r="H15" s="42"/>
      <c r="I15" s="43">
        <f t="shared" si="9"/>
        <v>50</v>
      </c>
      <c r="J15" s="40">
        <f t="shared" si="0"/>
        <v>56.070849999999986</v>
      </c>
      <c r="K15" s="40"/>
      <c r="L15" s="42">
        <f>'Gain-Sub-Exp'!$D$19*E15^2/$R$2</f>
        <v>151.21815076626407</v>
      </c>
      <c r="M15" s="43">
        <f t="shared" si="10"/>
        <v>2.5203025127710679</v>
      </c>
      <c r="O15" s="43">
        <f>('Gain-Sub-Exp'!O19)</f>
        <v>23.80666594425211</v>
      </c>
      <c r="P15" s="43">
        <f t="shared" si="1"/>
        <v>0.10807053066669239</v>
      </c>
      <c r="Q15" s="43"/>
      <c r="R15" s="42">
        <f t="shared" si="11"/>
        <v>37.716615202675612</v>
      </c>
      <c r="S15" s="43">
        <f t="shared" si="12"/>
        <v>10</v>
      </c>
      <c r="U15" s="42">
        <f t="shared" si="13"/>
        <v>4522.2951355141968</v>
      </c>
      <c r="V15" s="43">
        <f t="shared" si="14"/>
        <v>6.449523025279456</v>
      </c>
      <c r="W15" s="43">
        <f t="shared" si="2"/>
        <v>9.486104348152617</v>
      </c>
      <c r="X15" s="43"/>
      <c r="Y15" s="43">
        <f t="shared" si="3"/>
        <v>1.3218382308069498</v>
      </c>
      <c r="AA15" s="44">
        <f t="shared" si="15"/>
        <v>11.740293805704168</v>
      </c>
      <c r="AC15" s="44">
        <f t="shared" si="4"/>
        <v>8.3775877723442065</v>
      </c>
      <c r="AE15" s="45"/>
      <c r="AF15" s="45"/>
    </row>
    <row r="16" spans="1:32" x14ac:dyDescent="0.35">
      <c r="A16" s="37">
        <f t="shared" si="16"/>
        <v>110</v>
      </c>
      <c r="B16" s="39">
        <f t="shared" si="5"/>
        <v>0.99213485669999946</v>
      </c>
      <c r="C16" s="40">
        <f t="shared" si="6"/>
        <v>4113.4818484888647</v>
      </c>
      <c r="D16" s="41">
        <f t="shared" si="7"/>
        <v>11.126418791999999</v>
      </c>
      <c r="E16" s="41">
        <f t="shared" si="8"/>
        <v>1.8887618835600002</v>
      </c>
      <c r="G16" s="42">
        <v>10</v>
      </c>
      <c r="H16" s="42"/>
      <c r="I16" s="43">
        <f t="shared" si="9"/>
        <v>50</v>
      </c>
      <c r="J16" s="40">
        <f t="shared" si="0"/>
        <v>49.60674283499997</v>
      </c>
      <c r="K16" s="40"/>
      <c r="L16" s="42">
        <f>'Gain-Sub-Exp'!$D$19*E16^2/$R$2</f>
        <v>143.02950362746253</v>
      </c>
      <c r="M16" s="43">
        <f t="shared" si="10"/>
        <v>2.3838250604577089</v>
      </c>
      <c r="O16" s="43">
        <f>('Gain-Sub-Exp'!O20)</f>
        <v>25.169632199637853</v>
      </c>
      <c r="P16" s="43">
        <f t="shared" si="1"/>
        <v>0.10221837973607803</v>
      </c>
      <c r="Q16" s="43"/>
      <c r="R16" s="42">
        <f t="shared" si="11"/>
        <v>35.674214527891202</v>
      </c>
      <c r="S16" s="43">
        <f t="shared" si="12"/>
        <v>10</v>
      </c>
      <c r="U16" s="42">
        <f t="shared" si="13"/>
        <v>4028.0986727462373</v>
      </c>
      <c r="V16" s="43">
        <f t="shared" si="14"/>
        <v>6.2724679640805183</v>
      </c>
      <c r="W16" s="43">
        <f t="shared" si="2"/>
        <v>9.3588721621820863</v>
      </c>
      <c r="X16" s="43"/>
      <c r="Y16" s="43">
        <f t="shared" si="3"/>
        <v>1.250259079813453</v>
      </c>
      <c r="AA16" s="44">
        <f t="shared" si="15"/>
        <v>11.653656226421939</v>
      </c>
      <c r="AC16" s="44">
        <f t="shared" si="4"/>
        <v>8.3775877723442083</v>
      </c>
      <c r="AE16" s="45"/>
      <c r="AF16" s="45"/>
    </row>
    <row r="17" spans="1:32" x14ac:dyDescent="0.35">
      <c r="A17" s="37">
        <f t="shared" si="16"/>
        <v>120</v>
      </c>
      <c r="B17" s="39">
        <f t="shared" si="5"/>
        <v>0.87729464319999906</v>
      </c>
      <c r="C17" s="40">
        <f t="shared" si="6"/>
        <v>3665.5186327636011</v>
      </c>
      <c r="D17" s="41">
        <f t="shared" si="7"/>
        <v>11.000812096000001</v>
      </c>
      <c r="E17" s="41">
        <f t="shared" si="8"/>
        <v>1.8398523737600001</v>
      </c>
      <c r="G17" s="42">
        <v>10</v>
      </c>
      <c r="H17" s="42"/>
      <c r="I17" s="43">
        <f t="shared" si="9"/>
        <v>50</v>
      </c>
      <c r="J17" s="40">
        <f t="shared" si="0"/>
        <v>43.864732159999953</v>
      </c>
      <c r="K17" s="40"/>
      <c r="L17" s="42">
        <f>'Gain-Sub-Exp'!$D$19*E17^2/$R$2</f>
        <v>135.71791114248785</v>
      </c>
      <c r="M17" s="43">
        <f t="shared" si="10"/>
        <v>2.2619651857081307</v>
      </c>
      <c r="O17" s="43">
        <f>('Gain-Sub-Exp'!O21)</f>
        <v>26.525607192851822</v>
      </c>
      <c r="P17" s="43">
        <f t="shared" si="1"/>
        <v>9.6993030293132082E-2</v>
      </c>
      <c r="Q17" s="43"/>
      <c r="R17" s="42">
        <f t="shared" si="11"/>
        <v>33.850567572303071</v>
      </c>
      <c r="S17" s="43">
        <f t="shared" si="12"/>
        <v>10</v>
      </c>
      <c r="U17" s="42">
        <f t="shared" si="13"/>
        <v>3587.7063400010047</v>
      </c>
      <c r="V17" s="43">
        <f t="shared" si="14"/>
        <v>6.1100423369913335</v>
      </c>
      <c r="W17" s="43">
        <f t="shared" si="2"/>
        <v>9.2292422285104774</v>
      </c>
      <c r="X17" s="43"/>
      <c r="Y17" s="43">
        <f t="shared" si="3"/>
        <v>1.1863464977209832</v>
      </c>
      <c r="AA17" s="44">
        <f>LOG(SQRT(O17)*(U17/V17))/LOG(2)</f>
        <v>11.562320651460581</v>
      </c>
      <c r="AC17" s="44">
        <f t="shared" si="4"/>
        <v>8.3775877723442065</v>
      </c>
      <c r="AE17" s="45"/>
      <c r="AF17" s="45"/>
    </row>
    <row r="18" spans="1:32" x14ac:dyDescent="0.35">
      <c r="A18" s="37">
        <f t="shared" si="16"/>
        <v>130</v>
      </c>
      <c r="B18" s="39">
        <f t="shared" si="5"/>
        <v>0.77566774069999989</v>
      </c>
      <c r="C18" s="40">
        <f t="shared" si="6"/>
        <v>3266.3391603570622</v>
      </c>
      <c r="D18" s="41">
        <f t="shared" si="7"/>
        <v>10.869927104</v>
      </c>
      <c r="E18" s="41">
        <f t="shared" si="8"/>
        <v>1.7953044407600001</v>
      </c>
      <c r="G18" s="42">
        <v>10</v>
      </c>
      <c r="H18" s="42"/>
      <c r="I18" s="43">
        <f t="shared" si="9"/>
        <v>50</v>
      </c>
      <c r="J18" s="40">
        <f t="shared" si="0"/>
        <v>38.783387034999997</v>
      </c>
      <c r="K18" s="40"/>
      <c r="L18" s="42">
        <f>'Gain-Sub-Exp'!$D$19*E18^2/$R$2</f>
        <v>129.22526221849859</v>
      </c>
      <c r="M18" s="43">
        <f t="shared" si="10"/>
        <v>2.15375437030831</v>
      </c>
      <c r="O18" s="43">
        <f>('Gain-Sub-Exp'!O22)</f>
        <v>27.858330006040102</v>
      </c>
      <c r="P18" s="43">
        <f t="shared" si="1"/>
        <v>9.2352952292624052E-2</v>
      </c>
      <c r="Q18" s="43"/>
      <c r="R18" s="42">
        <f t="shared" si="11"/>
        <v>32.231180350125769</v>
      </c>
      <c r="S18" s="43">
        <f t="shared" si="12"/>
        <v>10</v>
      </c>
      <c r="U18" s="42">
        <f t="shared" si="13"/>
        <v>3195.2322400196435</v>
      </c>
      <c r="V18" s="43">
        <f t="shared" si="14"/>
        <v>5.962101251860032</v>
      </c>
      <c r="W18" s="43">
        <f t="shared" si="2"/>
        <v>9.0970102746577091</v>
      </c>
      <c r="X18" s="43"/>
      <c r="Y18" s="43">
        <f t="shared" si="3"/>
        <v>1.1295925199514623</v>
      </c>
      <c r="AA18" s="44">
        <f t="shared" si="15"/>
        <v>11.465902639108771</v>
      </c>
      <c r="AC18" s="44">
        <f t="shared" si="4"/>
        <v>8.3775877723442047</v>
      </c>
      <c r="AE18" s="45"/>
      <c r="AF18" s="45"/>
    </row>
    <row r="19" spans="1:32" x14ac:dyDescent="0.35">
      <c r="A19" s="37">
        <f t="shared" si="16"/>
        <v>140</v>
      </c>
      <c r="B19" s="39">
        <f t="shared" si="5"/>
        <v>0.68607973919999976</v>
      </c>
      <c r="C19" s="40">
        <f t="shared" si="6"/>
        <v>2910.6308218213198</v>
      </c>
      <c r="D19" s="41">
        <f t="shared" si="7"/>
        <v>10.734109008000001</v>
      </c>
      <c r="E19" s="41">
        <f t="shared" si="8"/>
        <v>1.7550544425600003</v>
      </c>
      <c r="G19" s="42">
        <v>10</v>
      </c>
      <c r="H19" s="42"/>
      <c r="I19" s="43">
        <f t="shared" si="9"/>
        <v>50</v>
      </c>
      <c r="J19" s="40">
        <f t="shared" si="0"/>
        <v>34.303986959999989</v>
      </c>
      <c r="K19" s="40"/>
      <c r="L19" s="42">
        <f>'Gain-Sub-Exp'!$D$19*E19^2/$R$2</f>
        <v>123.49585972853245</v>
      </c>
      <c r="M19" s="43">
        <f t="shared" si="10"/>
        <v>2.0582643288088742</v>
      </c>
      <c r="O19" s="43">
        <f>('Gain-Sub-Exp'!O23)</f>
        <v>29.150774834990333</v>
      </c>
      <c r="P19" s="43">
        <f t="shared" si="1"/>
        <v>8.8258340869615926E-2</v>
      </c>
      <c r="Q19" s="43"/>
      <c r="R19" s="42">
        <f t="shared" si="11"/>
        <v>30.802160963495933</v>
      </c>
      <c r="S19" s="43">
        <f t="shared" si="12"/>
        <v>10</v>
      </c>
      <c r="U19" s="42">
        <f t="shared" si="13"/>
        <v>2845.4364155569542</v>
      </c>
      <c r="V19" s="43">
        <f t="shared" si="14"/>
        <v>5.8284333573195415</v>
      </c>
      <c r="W19" s="43">
        <f t="shared" si="2"/>
        <v>8.9619901672504447</v>
      </c>
      <c r="X19" s="43"/>
      <c r="Y19" s="43">
        <f t="shared" si="3"/>
        <v>1.0795102830470855</v>
      </c>
      <c r="AA19" s="44">
        <f t="shared" si="15"/>
        <v>11.364057239819545</v>
      </c>
      <c r="AC19" s="44">
        <f t="shared" si="4"/>
        <v>8.3775877723442065</v>
      </c>
      <c r="AE19" s="45"/>
      <c r="AF19" s="45"/>
    </row>
    <row r="20" spans="1:32" x14ac:dyDescent="0.35">
      <c r="A20" s="37">
        <f t="shared" si="16"/>
        <v>150</v>
      </c>
      <c r="B20" s="39">
        <f t="shared" si="5"/>
        <v>0.60741043749999957</v>
      </c>
      <c r="C20" s="40">
        <f t="shared" si="6"/>
        <v>2593.659557389672</v>
      </c>
      <c r="D20" s="41">
        <f t="shared" si="7"/>
        <v>10.593703</v>
      </c>
      <c r="E20" s="41">
        <f t="shared" si="8"/>
        <v>1.7190187250000002</v>
      </c>
      <c r="G20" s="42">
        <v>10</v>
      </c>
      <c r="H20" s="42"/>
      <c r="I20" s="43">
        <f t="shared" si="9"/>
        <v>50</v>
      </c>
      <c r="J20" s="40">
        <f t="shared" si="0"/>
        <v>30.37052187499998</v>
      </c>
      <c r="K20" s="40"/>
      <c r="L20" s="42">
        <f>'Gain-Sub-Exp'!$D$19*E20^2/$R$2</f>
        <v>118.47655749622926</v>
      </c>
      <c r="M20" s="43">
        <f t="shared" si="10"/>
        <v>1.9746092916038209</v>
      </c>
      <c r="O20" s="43">
        <f>('Gain-Sub-Exp'!O24)</f>
        <v>30.38575795987807</v>
      </c>
      <c r="P20" s="43">
        <f t="shared" si="1"/>
        <v>8.4671214237840353E-2</v>
      </c>
      <c r="Q20" s="43"/>
      <c r="R20" s="42">
        <f t="shared" si="11"/>
        <v>29.550253769006261</v>
      </c>
      <c r="S20" s="43">
        <f t="shared" si="12"/>
        <v>10</v>
      </c>
      <c r="U20" s="42">
        <f t="shared" si="13"/>
        <v>2533.6541105314282</v>
      </c>
      <c r="V20" s="43">
        <f t="shared" si="14"/>
        <v>5.7087608427875773</v>
      </c>
      <c r="W20" s="43">
        <f t="shared" si="2"/>
        <v>8.8240182536165968</v>
      </c>
      <c r="X20" s="43"/>
      <c r="Y20" s="43">
        <f t="shared" si="3"/>
        <v>1.0356352220903609</v>
      </c>
      <c r="AA20" s="44">
        <f t="shared" si="15"/>
        <v>11.256487931264703</v>
      </c>
      <c r="AC20" s="44">
        <f t="shared" si="4"/>
        <v>8.3775877723442065</v>
      </c>
      <c r="AE20" s="45"/>
      <c r="AF20" s="45"/>
    </row>
    <row r="21" spans="1:32" x14ac:dyDescent="0.35">
      <c r="A21" s="37">
        <f t="shared" si="16"/>
        <v>160</v>
      </c>
      <c r="B21" s="39">
        <f t="shared" si="5"/>
        <v>0.53859384319999926</v>
      </c>
      <c r="C21" s="40">
        <f t="shared" si="6"/>
        <v>2311.2068522071595</v>
      </c>
      <c r="D21" s="41">
        <f t="shared" si="7"/>
        <v>10.449054272</v>
      </c>
      <c r="E21" s="41">
        <f t="shared" si="8"/>
        <v>1.6870936217600003</v>
      </c>
      <c r="G21" s="42">
        <v>10</v>
      </c>
      <c r="H21" s="42"/>
      <c r="I21" s="43">
        <f t="shared" ref="I21:I45" si="17">5*G21</f>
        <v>50</v>
      </c>
      <c r="J21" s="40">
        <f t="shared" ref="J21:J45" si="18">I21*B21</f>
        <v>26.929692159999963</v>
      </c>
      <c r="K21" s="40"/>
      <c r="L21" s="42">
        <f>'Gain-Sub-Exp'!$D$19*E21^2/$R$2</f>
        <v>114.11679841699889</v>
      </c>
      <c r="M21" s="43">
        <f t="shared" ref="M21:M45" si="19">L21/60</f>
        <v>1.9019466402833147</v>
      </c>
      <c r="O21" s="43">
        <f>('Gain-Sub-Exp'!O25)</f>
        <v>31.546626350706862</v>
      </c>
      <c r="P21" s="43">
        <f t="shared" ref="P21:P45" si="20">$P$2*L21</f>
        <v>8.1555440933618273E-2</v>
      </c>
      <c r="Q21" s="43"/>
      <c r="R21" s="42">
        <f t="shared" ref="R21:R45" si="21">$R$2*L21</f>
        <v>28.462848885832752</v>
      </c>
      <c r="S21" s="43">
        <f t="shared" ref="S21:S45" si="22">R21/E21^2</f>
        <v>10</v>
      </c>
      <c r="U21" s="42">
        <f t="shared" ref="U21:U45" si="23">C21-(J21+P21+R21)</f>
        <v>2255.732755720393</v>
      </c>
      <c r="V21" s="43">
        <f t="shared" ref="V21:V45" si="24">SQRT(R21+P21+E21^2)</f>
        <v>5.6027394384666547</v>
      </c>
      <c r="W21" s="43">
        <f t="shared" ref="W21:W45" si="25">20*LOG(U21/V21)/6</f>
        <v>8.6829574014262256</v>
      </c>
      <c r="X21" s="43"/>
      <c r="Y21" s="43">
        <f t="shared" ref="Y21:Y45" si="26">V21/SQRT(O21)</f>
        <v>0.99752540393141487</v>
      </c>
      <c r="AA21" s="44">
        <f t="shared" ref="AA21:AA45" si="27">LOG(SQRT(O21)*(U21/V21))/LOG(2)</f>
        <v>11.14295495360717</v>
      </c>
      <c r="AC21" s="44">
        <f t="shared" ref="AC21:AC45" si="28">(O21*$AC$2*L21)/SQRT(O21*(($AC$2*L21)+R21+P21+E21^2))</f>
        <v>8.3775877723442065</v>
      </c>
      <c r="AE21" s="45"/>
      <c r="AF21" s="45"/>
    </row>
    <row r="22" spans="1:32" x14ac:dyDescent="0.35">
      <c r="A22" s="37">
        <f t="shared" si="16"/>
        <v>170</v>
      </c>
      <c r="B22" s="39">
        <f t="shared" si="5"/>
        <v>0.47861817269999918</v>
      </c>
      <c r="C22" s="40">
        <f t="shared" si="6"/>
        <v>2059.5135928577042</v>
      </c>
      <c r="D22" s="41">
        <f t="shared" si="7"/>
        <v>10.300508016</v>
      </c>
      <c r="E22" s="41">
        <f t="shared" si="8"/>
        <v>1.6591554543600004</v>
      </c>
      <c r="G22" s="42">
        <v>10</v>
      </c>
      <c r="H22" s="42"/>
      <c r="I22" s="43">
        <f t="shared" si="17"/>
        <v>50</v>
      </c>
      <c r="J22" s="40">
        <f t="shared" si="18"/>
        <v>23.930908634999959</v>
      </c>
      <c r="K22" s="40"/>
      <c r="L22" s="42">
        <f>'Gain-Sub-Exp'!$D$19*E22^2/$R$2</f>
        <v>110.36855841404171</v>
      </c>
      <c r="M22" s="43">
        <f t="shared" si="19"/>
        <v>1.8394759735673618</v>
      </c>
      <c r="O22" s="43">
        <f>('Gain-Sub-Exp'!O26)</f>
        <v>32.617985155652697</v>
      </c>
      <c r="P22" s="43">
        <f t="shared" si="20"/>
        <v>7.8876699763110084E-2</v>
      </c>
      <c r="Q22" s="43"/>
      <c r="R22" s="42">
        <f t="shared" si="21"/>
        <v>27.527968217325395</v>
      </c>
      <c r="S22" s="43">
        <f t="shared" si="22"/>
        <v>10</v>
      </c>
      <c r="U22" s="42">
        <f t="shared" si="23"/>
        <v>2007.9758393056159</v>
      </c>
      <c r="V22" s="43">
        <f t="shared" si="24"/>
        <v>5.5099584153440802</v>
      </c>
      <c r="W22" s="43">
        <f t="shared" si="25"/>
        <v>8.5387005391687509</v>
      </c>
      <c r="X22" s="43"/>
      <c r="Y22" s="43">
        <f t="shared" si="26"/>
        <v>0.96476103729260476</v>
      </c>
      <c r="AA22" s="44">
        <f t="shared" si="27"/>
        <v>11.023282645982249</v>
      </c>
      <c r="AC22" s="44">
        <f t="shared" si="28"/>
        <v>8.3775877723442065</v>
      </c>
      <c r="AE22" s="45"/>
      <c r="AF22" s="45"/>
    </row>
    <row r="23" spans="1:32" x14ac:dyDescent="0.35">
      <c r="A23" s="37">
        <f t="shared" si="16"/>
        <v>180</v>
      </c>
      <c r="B23" s="39">
        <f t="shared" si="5"/>
        <v>0.42652585120000008</v>
      </c>
      <c r="C23" s="40">
        <f t="shared" si="6"/>
        <v>1835.2300379842691</v>
      </c>
      <c r="D23" s="41">
        <f t="shared" si="7"/>
        <v>10.148409424</v>
      </c>
      <c r="E23" s="41">
        <f t="shared" si="8"/>
        <v>1.6350605321600002</v>
      </c>
      <c r="G23" s="42">
        <v>10</v>
      </c>
      <c r="H23" s="42"/>
      <c r="I23" s="43">
        <f t="shared" si="17"/>
        <v>50</v>
      </c>
      <c r="J23" s="40">
        <f t="shared" si="18"/>
        <v>21.326292560000006</v>
      </c>
      <c r="K23" s="40"/>
      <c r="L23" s="42">
        <f>'Gain-Sub-Exp'!$D$19*E23^2/$R$2</f>
        <v>107.18620205160772</v>
      </c>
      <c r="M23" s="43">
        <f t="shared" si="19"/>
        <v>1.7864367008601287</v>
      </c>
      <c r="O23" s="43">
        <f>('Gain-Sub-Exp'!O27)</f>
        <v>33.586412533459125</v>
      </c>
      <c r="P23" s="43">
        <f t="shared" si="20"/>
        <v>7.660237661396406E-2</v>
      </c>
      <c r="Q23" s="43"/>
      <c r="R23" s="42">
        <f t="shared" si="21"/>
        <v>26.734229438273434</v>
      </c>
      <c r="S23" s="43">
        <f t="shared" si="22"/>
        <v>10</v>
      </c>
      <c r="U23" s="42">
        <f t="shared" si="23"/>
        <v>1787.0929136093816</v>
      </c>
      <c r="V23" s="43">
        <f t="shared" si="24"/>
        <v>5.4299405851919538</v>
      </c>
      <c r="W23" s="43">
        <f t="shared" si="25"/>
        <v>8.3911735172455959</v>
      </c>
      <c r="X23" s="43"/>
      <c r="Y23" s="43">
        <f t="shared" si="26"/>
        <v>0.93694321064546471</v>
      </c>
      <c r="AA23" s="44">
        <f t="shared" si="27"/>
        <v>10.897365416832969</v>
      </c>
      <c r="AC23" s="44">
        <f t="shared" si="28"/>
        <v>8.3775877723442065</v>
      </c>
      <c r="AE23" s="45"/>
      <c r="AF23" s="45"/>
    </row>
    <row r="24" spans="1:32" x14ac:dyDescent="0.35">
      <c r="A24" s="37">
        <f t="shared" si="16"/>
        <v>190</v>
      </c>
      <c r="B24" s="39">
        <f t="shared" si="5"/>
        <v>0.38141351270000001</v>
      </c>
      <c r="C24" s="40">
        <f t="shared" si="6"/>
        <v>1635.3712371698093</v>
      </c>
      <c r="D24" s="41">
        <f t="shared" si="7"/>
        <v>9.9931036879999997</v>
      </c>
      <c r="E24" s="41">
        <f t="shared" si="8"/>
        <v>1.6146451523600003</v>
      </c>
      <c r="G24" s="42">
        <v>10</v>
      </c>
      <c r="H24" s="42"/>
      <c r="I24" s="43">
        <f t="shared" si="17"/>
        <v>50</v>
      </c>
      <c r="J24" s="40">
        <f t="shared" si="18"/>
        <v>19.070675635000001</v>
      </c>
      <c r="K24" s="40"/>
      <c r="L24" s="42">
        <f>'Gain-Sub-Exp'!$D$19*E24^2/$R$2</f>
        <v>104.52625675185416</v>
      </c>
      <c r="M24" s="43">
        <f t="shared" si="19"/>
        <v>1.7421042791975694</v>
      </c>
      <c r="O24" s="43">
        <f>('Gain-Sub-Exp'!O28)</f>
        <v>34.441107066011341</v>
      </c>
      <c r="P24" s="43">
        <f t="shared" si="20"/>
        <v>7.4701403095691996E-2</v>
      </c>
      <c r="Q24" s="43"/>
      <c r="R24" s="42">
        <f t="shared" si="21"/>
        <v>26.070789680396484</v>
      </c>
      <c r="S24" s="43">
        <f t="shared" si="22"/>
        <v>10</v>
      </c>
      <c r="U24" s="42">
        <f t="shared" si="23"/>
        <v>1590.1550704513172</v>
      </c>
      <c r="V24" s="43">
        <f t="shared" si="24"/>
        <v>5.3621423005671733</v>
      </c>
      <c r="W24" s="43">
        <f t="shared" si="25"/>
        <v>8.2403371442405309</v>
      </c>
      <c r="X24" s="43"/>
      <c r="Y24" s="43">
        <f t="shared" si="26"/>
        <v>0.91369191857997611</v>
      </c>
      <c r="AA24" s="44">
        <f t="shared" si="27"/>
        <v>10.765172047230253</v>
      </c>
      <c r="AC24" s="44">
        <f t="shared" si="28"/>
        <v>8.3775877723442065</v>
      </c>
      <c r="AE24" s="45"/>
      <c r="AF24" s="45"/>
    </row>
    <row r="25" spans="1:32" x14ac:dyDescent="0.35">
      <c r="A25" s="37">
        <f t="shared" si="16"/>
        <v>200</v>
      </c>
      <c r="B25" s="39">
        <f t="shared" si="5"/>
        <v>0.34243199999999874</v>
      </c>
      <c r="C25" s="40">
        <f t="shared" si="6"/>
        <v>1457.2773047567332</v>
      </c>
      <c r="D25" s="41">
        <f t="shared" si="7"/>
        <v>9.834935999999999</v>
      </c>
      <c r="E25" s="41">
        <f t="shared" si="8"/>
        <v>1.5977256000000004</v>
      </c>
      <c r="G25" s="42">
        <v>10</v>
      </c>
      <c r="H25" s="42"/>
      <c r="I25" s="43">
        <f t="shared" si="17"/>
        <v>50</v>
      </c>
      <c r="J25" s="40">
        <f t="shared" si="18"/>
        <v>17.121599999999937</v>
      </c>
      <c r="K25" s="40"/>
      <c r="L25" s="42">
        <f>'Gain-Sub-Exp'!$D$19*E25^2/$R$2</f>
        <v>102.34711368563995</v>
      </c>
      <c r="M25" s="43">
        <f t="shared" si="19"/>
        <v>1.7057852280939991</v>
      </c>
      <c r="O25" s="43">
        <f>('Gain-Sub-Exp'!O29)</f>
        <v>35.174416457482437</v>
      </c>
      <c r="P25" s="43">
        <f t="shared" si="20"/>
        <v>7.3144042776371432E-2</v>
      </c>
      <c r="Q25" s="43"/>
      <c r="R25" s="42">
        <f t="shared" si="21"/>
        <v>25.527270928953612</v>
      </c>
      <c r="S25" s="43">
        <f t="shared" si="22"/>
        <v>10</v>
      </c>
      <c r="U25" s="42">
        <f t="shared" si="23"/>
        <v>1414.5552897850032</v>
      </c>
      <c r="V25" s="43">
        <f t="shared" si="24"/>
        <v>5.3059534548114291</v>
      </c>
      <c r="W25" s="43">
        <f t="shared" si="25"/>
        <v>8.0861883039506797</v>
      </c>
      <c r="X25" s="43"/>
      <c r="Y25" s="43">
        <f t="shared" si="26"/>
        <v>0.89464344721113809</v>
      </c>
      <c r="AA25" s="44">
        <f t="shared" si="27"/>
        <v>10.626748124373057</v>
      </c>
      <c r="AC25" s="44">
        <f t="shared" si="28"/>
        <v>8.3775877723442065</v>
      </c>
      <c r="AE25" s="45"/>
      <c r="AF25" s="45"/>
    </row>
    <row r="26" spans="1:32" x14ac:dyDescent="0.35">
      <c r="A26" s="37">
        <f t="shared" si="16"/>
        <v>210</v>
      </c>
      <c r="B26" s="39">
        <f t="shared" si="5"/>
        <v>0.30878636469999954</v>
      </c>
      <c r="C26" s="40">
        <f t="shared" si="6"/>
        <v>1298.5780198961259</v>
      </c>
      <c r="D26" s="41">
        <f t="shared" si="7"/>
        <v>9.6742515519999994</v>
      </c>
      <c r="E26" s="41">
        <f t="shared" si="8"/>
        <v>1.5840981479600003</v>
      </c>
      <c r="G26" s="42">
        <v>10</v>
      </c>
      <c r="H26" s="42"/>
      <c r="I26" s="43">
        <f t="shared" si="17"/>
        <v>50</v>
      </c>
      <c r="J26" s="40">
        <f t="shared" si="18"/>
        <v>15.439318234999977</v>
      </c>
      <c r="K26" s="40"/>
      <c r="L26" s="42">
        <f>'Gain-Sub-Exp'!$D$19*E26^2/$R$2</f>
        <v>100.6086645315703</v>
      </c>
      <c r="M26" s="43">
        <f t="shared" si="19"/>
        <v>1.6768110755261716</v>
      </c>
      <c r="O26" s="43">
        <f>('Gain-Sub-Exp'!O30)</f>
        <v>35.782206401023693</v>
      </c>
      <c r="P26" s="43">
        <f t="shared" si="20"/>
        <v>7.1901631586541684E-2</v>
      </c>
      <c r="Q26" s="43"/>
      <c r="R26" s="42">
        <f t="shared" si="21"/>
        <v>25.093669423703027</v>
      </c>
      <c r="S26" s="43">
        <f t="shared" si="22"/>
        <v>10</v>
      </c>
      <c r="U26" s="42">
        <f t="shared" si="23"/>
        <v>1257.9731306058363</v>
      </c>
      <c r="V26" s="43">
        <f t="shared" si="24"/>
        <v>5.2606974820512038</v>
      </c>
      <c r="W26" s="43">
        <f t="shared" si="25"/>
        <v>7.9287601223637294</v>
      </c>
      <c r="X26" s="43"/>
      <c r="Y26" s="43">
        <f t="shared" si="26"/>
        <v>0.87944719899279311</v>
      </c>
      <c r="AA26" s="44">
        <f t="shared" si="27"/>
        <v>10.482216524643627</v>
      </c>
      <c r="AC26" s="44">
        <f t="shared" si="28"/>
        <v>8.3775877723442065</v>
      </c>
      <c r="AE26" s="45"/>
      <c r="AF26" s="45"/>
    </row>
    <row r="27" spans="1:32" x14ac:dyDescent="0.35">
      <c r="A27" s="37">
        <f t="shared" si="16"/>
        <v>220</v>
      </c>
      <c r="B27" s="39">
        <f t="shared" si="5"/>
        <v>0.27973586719999943</v>
      </c>
      <c r="C27" s="40">
        <f t="shared" si="6"/>
        <v>1157.1612816950046</v>
      </c>
      <c r="D27" s="41">
        <f t="shared" si="7"/>
        <v>9.5113955360000002</v>
      </c>
      <c r="E27" s="41">
        <f t="shared" si="8"/>
        <v>1.5735390569600005</v>
      </c>
      <c r="G27" s="42">
        <v>10</v>
      </c>
      <c r="H27" s="42"/>
      <c r="I27" s="43">
        <f t="shared" si="17"/>
        <v>50</v>
      </c>
      <c r="J27" s="40">
        <f t="shared" si="18"/>
        <v>13.986793359999972</v>
      </c>
      <c r="K27" s="40"/>
      <c r="L27" s="42">
        <f>'Gain-Sub-Exp'!$D$19*E27^2/$R$2</f>
        <v>99.271884421582413</v>
      </c>
      <c r="M27" s="43">
        <f t="shared" si="19"/>
        <v>1.6545314070263735</v>
      </c>
      <c r="O27" s="43">
        <f>('Gain-Sub-Exp'!O31)</f>
        <v>36.264044154855739</v>
      </c>
      <c r="P27" s="43">
        <f t="shared" si="20"/>
        <v>7.0946279764428938E-2</v>
      </c>
      <c r="Q27" s="43"/>
      <c r="R27" s="42">
        <f t="shared" si="21"/>
        <v>24.760251637785679</v>
      </c>
      <c r="S27" s="43">
        <f t="shared" si="22"/>
        <v>10</v>
      </c>
      <c r="U27" s="42">
        <f t="shared" si="23"/>
        <v>1118.3432904174545</v>
      </c>
      <c r="V27" s="43">
        <f t="shared" si="24"/>
        <v>5.2256313571977762</v>
      </c>
      <c r="W27" s="43">
        <f t="shared" si="25"/>
        <v>7.7681212246522575</v>
      </c>
      <c r="X27" s="43"/>
      <c r="Y27" s="43">
        <f t="shared" si="26"/>
        <v>0.86776204713363847</v>
      </c>
      <c r="AA27" s="44">
        <f t="shared" si="27"/>
        <v>10.331776001119309</v>
      </c>
      <c r="AC27" s="44">
        <f t="shared" si="28"/>
        <v>8.3775877723442083</v>
      </c>
      <c r="AE27" s="45"/>
      <c r="AF27" s="45"/>
    </row>
    <row r="28" spans="1:32" x14ac:dyDescent="0.35">
      <c r="A28" s="37">
        <f t="shared" si="16"/>
        <v>230</v>
      </c>
      <c r="B28" s="39">
        <f t="shared" si="5"/>
        <v>0.25459397669999895</v>
      </c>
      <c r="C28" s="40">
        <f t="shared" si="6"/>
        <v>1031.1449996367064</v>
      </c>
      <c r="D28" s="41">
        <f t="shared" si="7"/>
        <v>9.3467131439999989</v>
      </c>
      <c r="E28" s="41">
        <f t="shared" si="8"/>
        <v>1.5658045755600001</v>
      </c>
      <c r="G28" s="42">
        <v>10</v>
      </c>
      <c r="H28" s="42"/>
      <c r="I28" s="43">
        <f t="shared" si="17"/>
        <v>50</v>
      </c>
      <c r="J28" s="40">
        <f t="shared" si="18"/>
        <v>12.729698834999947</v>
      </c>
      <c r="K28" s="40"/>
      <c r="L28" s="42">
        <f>'Gain-Sub-Exp'!$D$19*E28^2/$R$2</f>
        <v>98.298372515337846</v>
      </c>
      <c r="M28" s="43">
        <f t="shared" si="19"/>
        <v>1.6383062085889641</v>
      </c>
      <c r="O28" s="43">
        <f>('Gain-Sub-Exp'!O32)</f>
        <v>36.623190271418572</v>
      </c>
      <c r="P28" s="43">
        <f t="shared" si="20"/>
        <v>7.0250543519903549E-2</v>
      </c>
      <c r="Q28" s="43"/>
      <c r="R28" s="42">
        <f t="shared" si="21"/>
        <v>24.51743968844632</v>
      </c>
      <c r="S28" s="43">
        <f t="shared" si="22"/>
        <v>10</v>
      </c>
      <c r="U28" s="42">
        <f t="shared" si="23"/>
        <v>993.82761056974027</v>
      </c>
      <c r="V28" s="43">
        <f t="shared" si="24"/>
        <v>5.1999455959472165</v>
      </c>
      <c r="W28" s="43">
        <f t="shared" si="25"/>
        <v>7.6043741942820269</v>
      </c>
      <c r="X28" s="43"/>
      <c r="Y28" s="43">
        <f t="shared" si="26"/>
        <v>0.859252319635325</v>
      </c>
      <c r="AA28" s="44">
        <f t="shared" si="27"/>
        <v>10.175698066836032</v>
      </c>
      <c r="AC28" s="44">
        <f t="shared" si="28"/>
        <v>8.3775877723442065</v>
      </c>
      <c r="AE28" s="45"/>
      <c r="AF28" s="45"/>
    </row>
    <row r="29" spans="1:32" x14ac:dyDescent="0.35">
      <c r="A29" s="37">
        <f t="shared" si="16"/>
        <v>240</v>
      </c>
      <c r="B29" s="39">
        <f t="shared" si="5"/>
        <v>0.23272837119999856</v>
      </c>
      <c r="C29" s="40">
        <f t="shared" si="6"/>
        <v>918.85204516895419</v>
      </c>
      <c r="D29" s="41">
        <f t="shared" si="7"/>
        <v>9.180549568</v>
      </c>
      <c r="E29" s="41">
        <f t="shared" si="8"/>
        <v>1.56063094016</v>
      </c>
      <c r="G29" s="42">
        <v>10</v>
      </c>
      <c r="H29" s="42"/>
      <c r="I29" s="43">
        <f t="shared" si="17"/>
        <v>50</v>
      </c>
      <c r="J29" s="40">
        <f t="shared" si="18"/>
        <v>11.636418559999928</v>
      </c>
      <c r="K29" s="40"/>
      <c r="L29" s="42">
        <f>'Gain-Sub-Exp'!$D$19*E29^2/$R$2</f>
        <v>97.649862769666242</v>
      </c>
      <c r="M29" s="43">
        <f t="shared" si="19"/>
        <v>1.6274977128277708</v>
      </c>
      <c r="O29" s="43">
        <f>('Gain-Sub-Exp'!O33)</f>
        <v>36.866411256425202</v>
      </c>
      <c r="P29" s="43">
        <f t="shared" si="20"/>
        <v>6.9787075397842055E-2</v>
      </c>
      <c r="Q29" s="43"/>
      <c r="R29" s="42">
        <f t="shared" si="21"/>
        <v>24.35568931384686</v>
      </c>
      <c r="S29" s="43">
        <f t="shared" si="22"/>
        <v>10</v>
      </c>
      <c r="U29" s="42">
        <f t="shared" si="23"/>
        <v>882.79015021970952</v>
      </c>
      <c r="V29" s="43">
        <f t="shared" si="24"/>
        <v>5.1827642547803956</v>
      </c>
      <c r="W29" s="43">
        <f t="shared" si="25"/>
        <v>7.4376534134992065</v>
      </c>
      <c r="X29" s="43"/>
      <c r="Y29" s="43">
        <f t="shared" si="26"/>
        <v>0.85358352279753924</v>
      </c>
      <c r="AA29" s="44">
        <f t="shared" si="27"/>
        <v>10.01432249014116</v>
      </c>
      <c r="AC29" s="44">
        <f t="shared" si="28"/>
        <v>8.3775877723442065</v>
      </c>
      <c r="AE29" s="45"/>
      <c r="AF29" s="45"/>
    </row>
    <row r="30" spans="1:32" x14ac:dyDescent="0.35">
      <c r="A30" s="37">
        <f t="shared" si="16"/>
        <v>250</v>
      </c>
      <c r="B30" s="39">
        <f t="shared" si="5"/>
        <v>0.21356093750000049</v>
      </c>
      <c r="C30" s="40">
        <f t="shared" si="6"/>
        <v>818.78793109468586</v>
      </c>
      <c r="D30" s="41">
        <f t="shared" si="7"/>
        <v>9.0132499999999993</v>
      </c>
      <c r="E30" s="41">
        <f t="shared" si="8"/>
        <v>1.5577343750000003</v>
      </c>
      <c r="G30" s="42">
        <v>10</v>
      </c>
      <c r="H30" s="42"/>
      <c r="I30" s="43">
        <f t="shared" si="17"/>
        <v>50</v>
      </c>
      <c r="J30" s="40">
        <f t="shared" si="18"/>
        <v>10.678046875000025</v>
      </c>
      <c r="K30" s="40"/>
      <c r="L30" s="42">
        <f>'Gain-Sub-Exp'!$D$19*E30^2/$R$2</f>
        <v>97.28771859327766</v>
      </c>
      <c r="M30" s="43">
        <f t="shared" si="19"/>
        <v>1.6214619765546276</v>
      </c>
      <c r="O30" s="43">
        <f>('Gain-Sub-Exp'!O34)</f>
        <v>37.00364292691669</v>
      </c>
      <c r="P30" s="43">
        <f t="shared" si="20"/>
        <v>6.9528263124832193E-2</v>
      </c>
      <c r="Q30" s="43"/>
      <c r="R30" s="42">
        <f t="shared" si="21"/>
        <v>24.265363830566415</v>
      </c>
      <c r="S30" s="43">
        <f t="shared" si="22"/>
        <v>10</v>
      </c>
      <c r="U30" s="42">
        <f t="shared" si="23"/>
        <v>783.77499212599457</v>
      </c>
      <c r="V30" s="43">
        <f t="shared" si="24"/>
        <v>5.1731449309629722</v>
      </c>
      <c r="W30" s="43">
        <f t="shared" si="25"/>
        <v>7.2681225218776477</v>
      </c>
      <c r="X30" s="43"/>
      <c r="Y30" s="43">
        <f t="shared" si="26"/>
        <v>0.85041792385991932</v>
      </c>
      <c r="AA30" s="44">
        <f t="shared" si="27"/>
        <v>9.8480518221331845</v>
      </c>
      <c r="AC30" s="44">
        <f t="shared" si="28"/>
        <v>8.3775877723442065</v>
      </c>
      <c r="AE30" s="45"/>
      <c r="AF30" s="45"/>
    </row>
    <row r="31" spans="1:32" x14ac:dyDescent="0.35">
      <c r="A31" s="37">
        <f t="shared" si="16"/>
        <v>260</v>
      </c>
      <c r="B31" s="39">
        <f t="shared" si="5"/>
        <v>0.1965677711999998</v>
      </c>
      <c r="C31" s="40">
        <f t="shared" si="6"/>
        <v>729.62092170458618</v>
      </c>
      <c r="D31" s="41">
        <f t="shared" si="7"/>
        <v>8.8451596319999997</v>
      </c>
      <c r="E31" s="41">
        <f t="shared" si="8"/>
        <v>1.55681109216</v>
      </c>
      <c r="G31" s="42">
        <v>10</v>
      </c>
      <c r="H31" s="42"/>
      <c r="I31" s="43">
        <f t="shared" si="17"/>
        <v>50</v>
      </c>
      <c r="J31" s="40">
        <f t="shared" si="18"/>
        <v>9.8283885599999898</v>
      </c>
      <c r="K31" s="40"/>
      <c r="L31" s="42">
        <f>'Gain-Sub-Exp'!$D$19*E31^2/$R$2</f>
        <v>97.172426200941246</v>
      </c>
      <c r="M31" s="43">
        <f t="shared" si="19"/>
        <v>1.619540436682354</v>
      </c>
      <c r="O31" s="43">
        <f>('Gain-Sub-Exp'!O35)</f>
        <v>37.047546724372403</v>
      </c>
      <c r="P31" s="43">
        <f t="shared" si="20"/>
        <v>6.9445867526430199E-2</v>
      </c>
      <c r="Q31" s="43"/>
      <c r="R31" s="42">
        <f t="shared" si="21"/>
        <v>24.23660776672412</v>
      </c>
      <c r="S31" s="43">
        <f t="shared" si="22"/>
        <v>10</v>
      </c>
      <c r="U31" s="42">
        <f t="shared" si="23"/>
        <v>695.48647951033558</v>
      </c>
      <c r="V31" s="43">
        <f t="shared" si="24"/>
        <v>5.1700787625453986</v>
      </c>
      <c r="W31" s="43">
        <f t="shared" si="25"/>
        <v>7.0959717742074417</v>
      </c>
      <c r="X31" s="43"/>
      <c r="Y31" s="43">
        <f t="shared" si="26"/>
        <v>0.84941012227565682</v>
      </c>
      <c r="AA31" s="44">
        <f t="shared" si="27"/>
        <v>9.6773454520896536</v>
      </c>
      <c r="AC31" s="44">
        <f t="shared" si="28"/>
        <v>8.3775877723442047</v>
      </c>
      <c r="AE31" s="45"/>
      <c r="AF31" s="45"/>
    </row>
    <row r="32" spans="1:32" x14ac:dyDescent="0.35">
      <c r="A32" s="37">
        <f t="shared" si="16"/>
        <v>270</v>
      </c>
      <c r="B32" s="39">
        <f t="shared" si="5"/>
        <v>0.18127917670000038</v>
      </c>
      <c r="C32" s="40">
        <f t="shared" si="6"/>
        <v>650.16430894056305</v>
      </c>
      <c r="D32" s="41">
        <f t="shared" si="7"/>
        <v>8.6766236560000003</v>
      </c>
      <c r="E32" s="41">
        <f t="shared" si="8"/>
        <v>1.5575372915600001</v>
      </c>
      <c r="G32" s="42">
        <v>10</v>
      </c>
      <c r="H32" s="42"/>
      <c r="I32" s="43">
        <f t="shared" si="17"/>
        <v>50</v>
      </c>
      <c r="J32" s="40">
        <f t="shared" si="18"/>
        <v>9.0639588350000189</v>
      </c>
      <c r="K32" s="40"/>
      <c r="L32" s="42">
        <f>'Gain-Sub-Exp'!$D$19*E32^2/$R$2</f>
        <v>97.26310260530154</v>
      </c>
      <c r="M32" s="43">
        <f t="shared" si="19"/>
        <v>1.621051710088359</v>
      </c>
      <c r="O32" s="43">
        <f>('Gain-Sub-Exp'!O36)</f>
        <v>37.013008053104961</v>
      </c>
      <c r="P32" s="43">
        <f t="shared" si="20"/>
        <v>6.9510670905445937E-2</v>
      </c>
      <c r="Q32" s="43"/>
      <c r="R32" s="42">
        <f t="shared" si="21"/>
        <v>24.259224146000609</v>
      </c>
      <c r="S32" s="43">
        <f t="shared" si="22"/>
        <v>10</v>
      </c>
      <c r="U32" s="42">
        <f t="shared" si="23"/>
        <v>616.77161528865702</v>
      </c>
      <c r="V32" s="43">
        <f t="shared" si="24"/>
        <v>5.1724904283629289</v>
      </c>
      <c r="W32" s="43">
        <f t="shared" si="25"/>
        <v>6.9214156098954893</v>
      </c>
      <c r="X32" s="43"/>
      <c r="Y32" s="43">
        <f t="shared" si="26"/>
        <v>0.85020274893659797</v>
      </c>
      <c r="AA32" s="44">
        <f t="shared" si="27"/>
        <v>9.5027137329449616</v>
      </c>
      <c r="AC32" s="44">
        <f t="shared" si="28"/>
        <v>8.3775877723442065</v>
      </c>
      <c r="AE32" s="45"/>
      <c r="AF32" s="45"/>
    </row>
    <row r="33" spans="1:32" x14ac:dyDescent="0.35">
      <c r="A33" s="37">
        <f t="shared" si="16"/>
        <v>280</v>
      </c>
      <c r="B33" s="39">
        <f t="shared" si="5"/>
        <v>0.16727966719999987</v>
      </c>
      <c r="C33" s="40">
        <f t="shared" si="6"/>
        <v>579.36061870675246</v>
      </c>
      <c r="D33" s="41">
        <f t="shared" si="7"/>
        <v>8.5079872640000005</v>
      </c>
      <c r="E33" s="41">
        <f t="shared" si="8"/>
        <v>1.5595691609600004</v>
      </c>
      <c r="G33" s="42">
        <v>10</v>
      </c>
      <c r="H33" s="42"/>
      <c r="I33" s="43">
        <f t="shared" si="17"/>
        <v>50</v>
      </c>
      <c r="J33" s="40">
        <f t="shared" si="18"/>
        <v>8.3639833599999935</v>
      </c>
      <c r="K33" s="40"/>
      <c r="L33" s="42">
        <f>'Gain-Sub-Exp'!$D$19*E33^2/$R$2</f>
        <v>97.517035308480544</v>
      </c>
      <c r="M33" s="43">
        <f t="shared" si="19"/>
        <v>1.6252839218080091</v>
      </c>
      <c r="O33" s="43">
        <f>('Gain-Sub-Exp'!O37)</f>
        <v>36.916626808966647</v>
      </c>
      <c r="P33" s="43">
        <f t="shared" si="20"/>
        <v>6.9692148074999474E-2</v>
      </c>
      <c r="Q33" s="43"/>
      <c r="R33" s="42">
        <f t="shared" si="21"/>
        <v>24.322559678174795</v>
      </c>
      <c r="S33" s="43">
        <f t="shared" si="22"/>
        <v>10</v>
      </c>
      <c r="U33" s="42">
        <f t="shared" si="23"/>
        <v>546.60438352050267</v>
      </c>
      <c r="V33" s="43">
        <f t="shared" si="24"/>
        <v>5.179238148035604</v>
      </c>
      <c r="W33" s="43">
        <f t="shared" si="25"/>
        <v>6.7446907644005201</v>
      </c>
      <c r="X33" s="43"/>
      <c r="Y33" s="43">
        <f t="shared" si="26"/>
        <v>0.85242244249463506</v>
      </c>
      <c r="AA33" s="44">
        <f t="shared" si="27"/>
        <v>9.3247127375783503</v>
      </c>
      <c r="AC33" s="44">
        <f t="shared" si="28"/>
        <v>8.3775877723442065</v>
      </c>
      <c r="AE33" s="45"/>
      <c r="AF33" s="45"/>
    </row>
    <row r="34" spans="1:32" x14ac:dyDescent="0.35">
      <c r="A34" s="37">
        <f t="shared" si="16"/>
        <v>290</v>
      </c>
      <c r="B34" s="39">
        <f t="shared" si="5"/>
        <v>0.15420796469999942</v>
      </c>
      <c r="C34" s="40">
        <f t="shared" si="6"/>
        <v>516.26753713261155</v>
      </c>
      <c r="D34" s="41">
        <f t="shared" si="7"/>
        <v>8.3395956479999995</v>
      </c>
      <c r="E34" s="41">
        <f t="shared" si="8"/>
        <v>1.5625428759600002</v>
      </c>
      <c r="G34" s="42">
        <v>10</v>
      </c>
      <c r="H34" s="42"/>
      <c r="I34" s="43">
        <f t="shared" si="17"/>
        <v>50</v>
      </c>
      <c r="J34" s="40">
        <f t="shared" si="18"/>
        <v>7.7103982349999711</v>
      </c>
      <c r="K34" s="40"/>
      <c r="L34" s="42">
        <f>'Gain-Sub-Exp'!$D$19*E34^2/$R$2</f>
        <v>97.889271879591476</v>
      </c>
      <c r="M34" s="43">
        <f t="shared" si="19"/>
        <v>1.6314878646598578</v>
      </c>
      <c r="O34" s="43">
        <f>('Gain-Sub-Exp'!O38)</f>
        <v>36.776246578155913</v>
      </c>
      <c r="P34" s="43">
        <f t="shared" si="20"/>
        <v>6.9958173043362479E-2</v>
      </c>
      <c r="Q34" s="43"/>
      <c r="R34" s="42">
        <f t="shared" si="21"/>
        <v>24.415402392133487</v>
      </c>
      <c r="S34" s="43">
        <f t="shared" si="22"/>
        <v>10</v>
      </c>
      <c r="U34" s="42">
        <f t="shared" si="23"/>
        <v>484.07177833243475</v>
      </c>
      <c r="V34" s="43">
        <f t="shared" si="24"/>
        <v>5.1891136819682604</v>
      </c>
      <c r="W34" s="43">
        <f t="shared" si="25"/>
        <v>6.5660552617637178</v>
      </c>
      <c r="X34" s="43"/>
      <c r="Y34" s="43">
        <f t="shared" si="26"/>
        <v>0.85567626174917322</v>
      </c>
      <c r="AA34" s="44">
        <f t="shared" si="27"/>
        <v>9.14394020359045</v>
      </c>
      <c r="AC34" s="44">
        <f t="shared" si="28"/>
        <v>8.3775877723442065</v>
      </c>
      <c r="AE34" s="45"/>
      <c r="AF34" s="45"/>
    </row>
    <row r="35" spans="1:32" x14ac:dyDescent="0.35">
      <c r="A35" s="37">
        <f t="shared" si="16"/>
        <v>300</v>
      </c>
      <c r="B35" s="39">
        <f t="shared" si="5"/>
        <v>0.14175700000000013</v>
      </c>
      <c r="C35" s="40">
        <f t="shared" si="6"/>
        <v>460.04536948321595</v>
      </c>
      <c r="D35" s="41">
        <f t="shared" si="7"/>
        <v>8.1717940000000002</v>
      </c>
      <c r="E35" s="41">
        <f t="shared" si="8"/>
        <v>1.5660746000000003</v>
      </c>
      <c r="G35" s="42">
        <v>10</v>
      </c>
      <c r="H35" s="42"/>
      <c r="I35" s="43">
        <f t="shared" si="17"/>
        <v>50</v>
      </c>
      <c r="J35" s="40">
        <f t="shared" si="18"/>
        <v>7.0878500000000066</v>
      </c>
      <c r="K35" s="40"/>
      <c r="L35" s="42">
        <f>'Gain-Sub-Exp'!$D$19*E35^2/$R$2</f>
        <v>98.332278728264953</v>
      </c>
      <c r="M35" s="43">
        <f t="shared" si="19"/>
        <v>1.6388713121377492</v>
      </c>
      <c r="O35" s="43">
        <f>('Gain-Sub-Exp'!O39)</f>
        <v>36.610562132383535</v>
      </c>
      <c r="P35" s="43">
        <f t="shared" si="20"/>
        <v>7.0274775150864263E-2</v>
      </c>
      <c r="Q35" s="43"/>
      <c r="R35" s="42">
        <f t="shared" si="21"/>
        <v>24.525896527651611</v>
      </c>
      <c r="S35" s="43">
        <f t="shared" si="22"/>
        <v>10</v>
      </c>
      <c r="U35" s="42">
        <f t="shared" si="23"/>
        <v>428.36134818041347</v>
      </c>
      <c r="V35" s="43">
        <f t="shared" si="24"/>
        <v>5.2008423313505316</v>
      </c>
      <c r="W35" s="43">
        <f t="shared" si="25"/>
        <v>6.3857886294685891</v>
      </c>
      <c r="X35" s="43"/>
      <c r="Y35" s="43">
        <f t="shared" si="26"/>
        <v>0.8595487028954153</v>
      </c>
      <c r="AA35" s="44">
        <f t="shared" si="27"/>
        <v>8.961033207065114</v>
      </c>
      <c r="AC35" s="44">
        <f t="shared" si="28"/>
        <v>8.3775877723442065</v>
      </c>
      <c r="AE35" s="45"/>
      <c r="AF35" s="45"/>
    </row>
    <row r="36" spans="1:32" x14ac:dyDescent="0.35">
      <c r="A36" s="37">
        <f t="shared" si="16"/>
        <v>310</v>
      </c>
      <c r="B36" s="39">
        <f t="shared" si="5"/>
        <v>0.12967391269999951</v>
      </c>
      <c r="C36" s="40">
        <f t="shared" si="6"/>
        <v>409.945864809596</v>
      </c>
      <c r="D36" s="41">
        <f t="shared" si="7"/>
        <v>8.0049275120000001</v>
      </c>
      <c r="E36" s="41">
        <f t="shared" si="8"/>
        <v>1.5697604843600004</v>
      </c>
      <c r="G36" s="42">
        <v>10</v>
      </c>
      <c r="H36" s="42"/>
      <c r="I36" s="43">
        <f t="shared" si="17"/>
        <v>50</v>
      </c>
      <c r="J36" s="40">
        <f t="shared" si="18"/>
        <v>6.4836956349999753</v>
      </c>
      <c r="K36" s="40"/>
      <c r="L36" s="42">
        <f>'Gain-Sub-Exp'!$D$19*E36^2/$R$2</f>
        <v>98.795689508264999</v>
      </c>
      <c r="M36" s="43">
        <f t="shared" si="19"/>
        <v>1.64659482513775</v>
      </c>
      <c r="O36" s="43">
        <f>('Gain-Sub-Exp'!O40)</f>
        <v>36.438836733851964</v>
      </c>
      <c r="P36" s="43">
        <f t="shared" si="20"/>
        <v>7.0605959262411033E-2</v>
      </c>
      <c r="Q36" s="43"/>
      <c r="R36" s="42">
        <f t="shared" si="21"/>
        <v>24.641479782581431</v>
      </c>
      <c r="S36" s="43">
        <f t="shared" si="22"/>
        <v>10</v>
      </c>
      <c r="U36" s="42">
        <f t="shared" si="23"/>
        <v>378.75008343275221</v>
      </c>
      <c r="V36" s="43">
        <f t="shared" si="24"/>
        <v>5.2130829381568438</v>
      </c>
      <c r="W36" s="43">
        <f t="shared" si="25"/>
        <v>6.2041936757917</v>
      </c>
      <c r="X36" s="43"/>
      <c r="Y36" s="43">
        <f t="shared" si="26"/>
        <v>0.86359950025319387</v>
      </c>
      <c r="AA36" s="44">
        <f t="shared" si="27"/>
        <v>8.7766680825475021</v>
      </c>
      <c r="AC36" s="44">
        <f t="shared" si="28"/>
        <v>8.3775877723442065</v>
      </c>
      <c r="AE36" s="45"/>
      <c r="AF36" s="45"/>
    </row>
    <row r="37" spans="1:32" x14ac:dyDescent="0.35">
      <c r="A37" s="37">
        <f t="shared" si="16"/>
        <v>320</v>
      </c>
      <c r="B37" s="39">
        <f t="shared" si="5"/>
        <v>0.11776005119999766</v>
      </c>
      <c r="C37" s="40">
        <f t="shared" si="6"/>
        <v>365.3022576083527</v>
      </c>
      <c r="D37" s="41">
        <f t="shared" si="7"/>
        <v>7.8393413760000001</v>
      </c>
      <c r="E37" s="41">
        <f t="shared" si="8"/>
        <v>1.5731766681600006</v>
      </c>
      <c r="G37" s="42">
        <v>10</v>
      </c>
      <c r="H37" s="42"/>
      <c r="I37" s="43">
        <f t="shared" si="17"/>
        <v>50</v>
      </c>
      <c r="J37" s="40">
        <f t="shared" si="18"/>
        <v>5.8880025599998831</v>
      </c>
      <c r="K37" s="40"/>
      <c r="L37" s="42">
        <f>'Gain-Sub-Exp'!$D$19*E37^2/$R$2</f>
        <v>99.226164709249602</v>
      </c>
      <c r="M37" s="43">
        <f t="shared" si="19"/>
        <v>1.6537694118208266</v>
      </c>
      <c r="O37" s="43">
        <f>('Gain-Sub-Exp'!O41)</f>
        <v>36.280753272573257</v>
      </c>
      <c r="P37" s="43">
        <f t="shared" si="20"/>
        <v>7.0913605422435605E-2</v>
      </c>
      <c r="Q37" s="43"/>
      <c r="R37" s="42">
        <f t="shared" si="21"/>
        <v>24.748848292430004</v>
      </c>
      <c r="S37" s="43">
        <f t="shared" si="22"/>
        <v>10</v>
      </c>
      <c r="U37" s="42">
        <f t="shared" si="23"/>
        <v>334.5944931505004</v>
      </c>
      <c r="V37" s="43">
        <f t="shared" si="24"/>
        <v>5.2244278851464152</v>
      </c>
      <c r="W37" s="43">
        <f t="shared" si="25"/>
        <v>6.0216001670981436</v>
      </c>
      <c r="X37" s="43"/>
      <c r="Y37" s="43">
        <f t="shared" si="26"/>
        <v>0.86736239892106115</v>
      </c>
      <c r="AA37" s="44">
        <f t="shared" si="27"/>
        <v>8.5915630837582402</v>
      </c>
      <c r="AC37" s="44">
        <f t="shared" si="28"/>
        <v>8.3775877723442083</v>
      </c>
      <c r="AE37" s="45"/>
      <c r="AF37" s="45"/>
    </row>
    <row r="38" spans="1:32" x14ac:dyDescent="0.35">
      <c r="A38" s="37">
        <f t="shared" si="16"/>
        <v>330</v>
      </c>
      <c r="B38" s="39">
        <f t="shared" si="5"/>
        <v>0.10587097269999823</v>
      </c>
      <c r="C38" s="40">
        <f t="shared" si="6"/>
        <v>325.52039395674763</v>
      </c>
      <c r="D38" s="41">
        <f t="shared" si="7"/>
        <v>7.6753807840000006</v>
      </c>
      <c r="E38" s="41">
        <f t="shared" si="8"/>
        <v>1.57587927836</v>
      </c>
      <c r="G38" s="42">
        <v>10</v>
      </c>
      <c r="H38" s="42"/>
      <c r="I38" s="43">
        <f t="shared" si="17"/>
        <v>50</v>
      </c>
      <c r="J38" s="40">
        <f t="shared" si="18"/>
        <v>5.2935486349999117</v>
      </c>
      <c r="K38" s="40"/>
      <c r="L38" s="42">
        <f>'Gain-Sub-Exp'!$D$19*E38^2/$R$2</f>
        <v>99.567385118705772</v>
      </c>
      <c r="M38" s="43">
        <f t="shared" si="19"/>
        <v>1.6594564186450962</v>
      </c>
      <c r="O38" s="43">
        <f>('Gain-Sub-Exp'!O42)</f>
        <v>36.156418045005644</v>
      </c>
      <c r="P38" s="43">
        <f t="shared" si="20"/>
        <v>7.1157464182362073E-2</v>
      </c>
      <c r="Q38" s="43"/>
      <c r="R38" s="42">
        <f t="shared" si="21"/>
        <v>24.833954999644341</v>
      </c>
      <c r="S38" s="43">
        <f t="shared" si="22"/>
        <v>10</v>
      </c>
      <c r="U38" s="42">
        <f t="shared" si="23"/>
        <v>295.32173285792101</v>
      </c>
      <c r="V38" s="43">
        <f t="shared" si="24"/>
        <v>5.2334030958632587</v>
      </c>
      <c r="W38" s="43">
        <f t="shared" si="25"/>
        <v>5.8383707369561506</v>
      </c>
      <c r="X38" s="43"/>
      <c r="Y38" s="43">
        <f t="shared" si="26"/>
        <v>0.87034509762531875</v>
      </c>
      <c r="AA38" s="44">
        <f t="shared" si="27"/>
        <v>8.4064842610236585</v>
      </c>
      <c r="AC38" s="44">
        <f t="shared" si="28"/>
        <v>8.3775877723442065</v>
      </c>
      <c r="AE38" s="45"/>
      <c r="AF38" s="45"/>
    </row>
    <row r="39" spans="1:32" x14ac:dyDescent="0.35">
      <c r="A39" s="37">
        <f t="shared" si="16"/>
        <v>340</v>
      </c>
      <c r="B39" s="39">
        <f t="shared" si="5"/>
        <v>9.3916443199999478E-2</v>
      </c>
      <c r="C39" s="40">
        <f t="shared" si="6"/>
        <v>290.07082402255946</v>
      </c>
      <c r="D39" s="41">
        <f t="shared" si="7"/>
        <v>7.5133909280000006</v>
      </c>
      <c r="E39" s="41">
        <f t="shared" si="8"/>
        <v>1.5774044297600005</v>
      </c>
      <c r="G39" s="42">
        <v>10</v>
      </c>
      <c r="H39" s="42"/>
      <c r="I39" s="43">
        <f t="shared" si="17"/>
        <v>50</v>
      </c>
      <c r="J39" s="40">
        <f t="shared" si="18"/>
        <v>4.6958221599999739</v>
      </c>
      <c r="K39" s="40"/>
      <c r="L39" s="42">
        <f>'Gain-Sub-Exp'!$D$19*E39^2/$R$2</f>
        <v>99.760202960066593</v>
      </c>
      <c r="M39" s="43">
        <f t="shared" si="19"/>
        <v>1.6626700493344433</v>
      </c>
      <c r="O39" s="43">
        <f>('Gain-Sub-Exp'!O43)</f>
        <v>36.086534441405036</v>
      </c>
      <c r="P39" s="43">
        <f t="shared" si="20"/>
        <v>7.1295264613939091E-2</v>
      </c>
      <c r="Q39" s="43"/>
      <c r="R39" s="42">
        <f t="shared" si="21"/>
        <v>24.88204735026472</v>
      </c>
      <c r="S39" s="43">
        <f t="shared" si="22"/>
        <v>10</v>
      </c>
      <c r="U39" s="42">
        <f t="shared" si="23"/>
        <v>260.42165924768085</v>
      </c>
      <c r="V39" s="43">
        <f t="shared" si="24"/>
        <v>5.2384680346361883</v>
      </c>
      <c r="W39" s="43">
        <f t="shared" si="25"/>
        <v>5.6549093448779209</v>
      </c>
      <c r="X39" s="43"/>
      <c r="Y39" s="43">
        <f t="shared" si="26"/>
        <v>0.87203056985865102</v>
      </c>
      <c r="AA39" s="44">
        <f t="shared" si="27"/>
        <v>8.2222550160502799</v>
      </c>
      <c r="AC39" s="44">
        <f t="shared" si="28"/>
        <v>8.3775877723442065</v>
      </c>
      <c r="AE39" s="45"/>
      <c r="AF39" s="45"/>
    </row>
    <row r="40" spans="1:32" x14ac:dyDescent="0.35">
      <c r="A40" s="37">
        <f t="shared" si="16"/>
        <v>350</v>
      </c>
      <c r="B40" s="39">
        <f t="shared" si="5"/>
        <v>8.1860437500001382E-2</v>
      </c>
      <c r="C40" s="40">
        <f t="shared" si="6"/>
        <v>258.4817557093109</v>
      </c>
      <c r="D40" s="41">
        <f t="shared" si="7"/>
        <v>7.3537170000000005</v>
      </c>
      <c r="E40" s="41">
        <f t="shared" si="8"/>
        <v>1.5772682250000005</v>
      </c>
      <c r="G40" s="42">
        <v>10</v>
      </c>
      <c r="H40" s="42"/>
      <c r="I40" s="43">
        <f t="shared" si="17"/>
        <v>50</v>
      </c>
      <c r="J40" s="40">
        <f t="shared" si="18"/>
        <v>4.0930218750000691</v>
      </c>
      <c r="K40" s="40"/>
      <c r="L40" s="42">
        <f>'Gain-Sub-Exp'!$D$19*E40^2/$R$2</f>
        <v>99.742975636991815</v>
      </c>
      <c r="M40" s="43">
        <f t="shared" si="19"/>
        <v>1.6623829272831969</v>
      </c>
      <c r="O40" s="43">
        <f>('Gain-Sub-Exp'!O44)</f>
        <v>36.092767205000683</v>
      </c>
      <c r="P40" s="43">
        <f t="shared" si="20"/>
        <v>7.1282952825061738E-2</v>
      </c>
      <c r="Q40" s="43"/>
      <c r="R40" s="42">
        <f t="shared" si="21"/>
        <v>24.877750535946525</v>
      </c>
      <c r="S40" s="43">
        <f t="shared" si="22"/>
        <v>10</v>
      </c>
      <c r="U40" s="42">
        <f t="shared" si="23"/>
        <v>229.43970034553925</v>
      </c>
      <c r="V40" s="43">
        <f t="shared" si="24"/>
        <v>5.2380157065788033</v>
      </c>
      <c r="W40" s="43">
        <f t="shared" si="25"/>
        <v>5.4716725681077536</v>
      </c>
      <c r="X40" s="43"/>
      <c r="Y40" s="43">
        <f t="shared" si="26"/>
        <v>0.87187998122799193</v>
      </c>
      <c r="AA40" s="44">
        <f t="shared" si="27"/>
        <v>8.0397697753535144</v>
      </c>
      <c r="AC40" s="44">
        <f t="shared" si="28"/>
        <v>8.3775877723442065</v>
      </c>
      <c r="AE40" s="45"/>
      <c r="AF40" s="45"/>
    </row>
    <row r="41" spans="1:32" x14ac:dyDescent="0.35">
      <c r="A41" s="37">
        <f t="shared" si="16"/>
        <v>360</v>
      </c>
      <c r="B41" s="39">
        <f t="shared" si="5"/>
        <v>6.9721139200000337E-2</v>
      </c>
      <c r="C41" s="40">
        <f t="shared" si="6"/>
        <v>230.33277565816701</v>
      </c>
      <c r="D41" s="41">
        <f t="shared" si="7"/>
        <v>7.1967041920000003</v>
      </c>
      <c r="E41" s="41">
        <f t="shared" si="8"/>
        <v>1.5749667545600001</v>
      </c>
      <c r="G41" s="42">
        <v>10</v>
      </c>
      <c r="H41" s="42"/>
      <c r="I41" s="43">
        <f t="shared" si="17"/>
        <v>50</v>
      </c>
      <c r="J41" s="40">
        <f t="shared" si="18"/>
        <v>3.4860569600000169</v>
      </c>
      <c r="K41" s="40"/>
      <c r="L41" s="42">
        <f>'Gain-Sub-Exp'!$D$19*E41^2/$R$2</f>
        <v>99.452108137774061</v>
      </c>
      <c r="M41" s="43">
        <f t="shared" si="19"/>
        <v>1.6575351356295678</v>
      </c>
      <c r="O41" s="43">
        <f>('Gain-Sub-Exp'!O45)</f>
        <v>36.198327691684618</v>
      </c>
      <c r="P41" s="43">
        <f t="shared" si="20"/>
        <v>7.1075079597973129E-2</v>
      </c>
      <c r="Q41" s="43"/>
      <c r="R41" s="42">
        <f t="shared" si="21"/>
        <v>24.8052027796926</v>
      </c>
      <c r="S41" s="43">
        <f t="shared" si="22"/>
        <v>10</v>
      </c>
      <c r="U41" s="42">
        <f t="shared" si="23"/>
        <v>201.97044083887641</v>
      </c>
      <c r="V41" s="43">
        <f t="shared" si="24"/>
        <v>5.2303726575894984</v>
      </c>
      <c r="W41" s="43">
        <f t="shared" si="25"/>
        <v>5.289183934975064</v>
      </c>
      <c r="X41" s="43"/>
      <c r="Y41" s="43">
        <f t="shared" si="26"/>
        <v>0.86933743075625969</v>
      </c>
      <c r="AA41" s="44">
        <f t="shared" si="27"/>
        <v>7.8600121854829483</v>
      </c>
      <c r="AC41" s="44">
        <f t="shared" si="28"/>
        <v>8.3775877723442065</v>
      </c>
      <c r="AE41" s="45"/>
      <c r="AF41" s="45"/>
    </row>
    <row r="42" spans="1:32" x14ac:dyDescent="0.35">
      <c r="A42" s="37">
        <f t="shared" si="16"/>
        <v>370</v>
      </c>
      <c r="B42" s="39">
        <f t="shared" si="5"/>
        <v>5.7570940699999795E-2</v>
      </c>
      <c r="C42" s="40">
        <f t="shared" si="6"/>
        <v>205.24925404042546</v>
      </c>
      <c r="D42" s="41">
        <f t="shared" si="7"/>
        <v>7.0426976960000003</v>
      </c>
      <c r="E42" s="41">
        <f t="shared" si="8"/>
        <v>1.5699760967600005</v>
      </c>
      <c r="G42" s="42">
        <v>10</v>
      </c>
      <c r="H42" s="42"/>
      <c r="I42" s="43">
        <f t="shared" si="17"/>
        <v>50</v>
      </c>
      <c r="J42" s="40">
        <f t="shared" si="18"/>
        <v>2.8785470349999898</v>
      </c>
      <c r="K42" s="40"/>
      <c r="L42" s="42">
        <f>'Gain-Sub-Exp'!$D$19*E42^2/$R$2</f>
        <v>98.822831277804781</v>
      </c>
      <c r="M42" s="43">
        <f t="shared" si="19"/>
        <v>1.647047187963413</v>
      </c>
      <c r="O42" s="43">
        <f>('Gain-Sub-Exp'!O46)</f>
        <v>36.428828778239485</v>
      </c>
      <c r="P42" s="43">
        <f t="shared" si="20"/>
        <v>7.0625356573001952E-2</v>
      </c>
      <c r="Q42" s="43"/>
      <c r="R42" s="42">
        <f t="shared" si="21"/>
        <v>24.648249443977662</v>
      </c>
      <c r="S42" s="43">
        <f t="shared" si="22"/>
        <v>10</v>
      </c>
      <c r="U42" s="42">
        <f t="shared" si="23"/>
        <v>177.65183220487481</v>
      </c>
      <c r="V42" s="43">
        <f t="shared" si="24"/>
        <v>5.2137989743514694</v>
      </c>
      <c r="W42" s="43">
        <f t="shared" si="25"/>
        <v>5.1080513621028745</v>
      </c>
      <c r="X42" s="43"/>
      <c r="Y42" s="43">
        <f t="shared" si="26"/>
        <v>0.86383675370754198</v>
      </c>
      <c r="AA42" s="44">
        <f t="shared" si="27"/>
        <v>7.6840781523118435</v>
      </c>
      <c r="AC42" s="44">
        <f t="shared" si="28"/>
        <v>8.3775877723442065</v>
      </c>
      <c r="AE42" s="45"/>
      <c r="AF42" s="45"/>
    </row>
    <row r="43" spans="1:32" x14ac:dyDescent="0.35">
      <c r="A43" s="37">
        <f t="shared" si="16"/>
        <v>380</v>
      </c>
      <c r="B43" s="39">
        <f t="shared" si="5"/>
        <v>4.5536443200001386E-2</v>
      </c>
      <c r="C43" s="40">
        <f t="shared" si="6"/>
        <v>182.89735867496086</v>
      </c>
      <c r="D43" s="41">
        <f t="shared" si="7"/>
        <v>6.8920427040000005</v>
      </c>
      <c r="E43" s="41">
        <f t="shared" si="8"/>
        <v>1.5617523177600003</v>
      </c>
      <c r="G43" s="42">
        <v>10</v>
      </c>
      <c r="H43" s="42"/>
      <c r="I43" s="43">
        <f t="shared" si="17"/>
        <v>50</v>
      </c>
      <c r="J43" s="40">
        <f t="shared" si="18"/>
        <v>2.2768221600000693</v>
      </c>
      <c r="K43" s="40"/>
      <c r="L43" s="42">
        <f>'Gain-Sub-Exp'!$D$19*E43^2/$R$2</f>
        <v>97.790244082012265</v>
      </c>
      <c r="M43" s="43">
        <f t="shared" si="19"/>
        <v>1.6298374013668711</v>
      </c>
      <c r="O43" s="43">
        <f>('Gain-Sub-Exp'!O47)</f>
        <v>36.813488234888162</v>
      </c>
      <c r="P43" s="43">
        <f t="shared" si="20"/>
        <v>6.9887401204261762E-2</v>
      </c>
      <c r="Q43" s="43"/>
      <c r="R43" s="42">
        <f t="shared" si="21"/>
        <v>24.390703020287333</v>
      </c>
      <c r="S43" s="43">
        <f t="shared" si="22"/>
        <v>10</v>
      </c>
      <c r="U43" s="42">
        <f t="shared" si="23"/>
        <v>156.15994609346919</v>
      </c>
      <c r="V43" s="43">
        <f t="shared" si="24"/>
        <v>5.1864882843326976</v>
      </c>
      <c r="W43" s="43">
        <f t="shared" si="25"/>
        <v>4.9289874973045293</v>
      </c>
      <c r="X43" s="43"/>
      <c r="Y43" s="43">
        <f t="shared" si="26"/>
        <v>0.8548106333302995</v>
      </c>
      <c r="AA43" s="44">
        <f t="shared" si="27"/>
        <v>7.5132038902880041</v>
      </c>
      <c r="AC43" s="44">
        <f t="shared" si="28"/>
        <v>8.3775877723442065</v>
      </c>
      <c r="AE43" s="45"/>
      <c r="AF43" s="45"/>
    </row>
    <row r="44" spans="1:32" x14ac:dyDescent="0.35">
      <c r="A44" s="37">
        <f t="shared" si="16"/>
        <v>390</v>
      </c>
      <c r="B44" s="39">
        <f t="shared" si="5"/>
        <v>3.3798456700001367E-2</v>
      </c>
      <c r="C44" s="40">
        <f t="shared" si="6"/>
        <v>162.97961211439426</v>
      </c>
      <c r="D44" s="41">
        <f t="shared" si="7"/>
        <v>6.7450844080000003</v>
      </c>
      <c r="E44" s="41">
        <f t="shared" si="8"/>
        <v>1.5497314715600004</v>
      </c>
      <c r="G44" s="42">
        <v>10</v>
      </c>
      <c r="H44" s="42"/>
      <c r="I44" s="43">
        <f t="shared" si="17"/>
        <v>50</v>
      </c>
      <c r="J44" s="40">
        <f t="shared" si="18"/>
        <v>1.6899228350000683</v>
      </c>
      <c r="K44" s="40"/>
      <c r="L44" s="42">
        <f>'Gain-Sub-Exp'!$D$19*E44^2/$R$2</f>
        <v>96.290649733161885</v>
      </c>
      <c r="M44" s="43">
        <f t="shared" si="19"/>
        <v>1.6048441622193648</v>
      </c>
      <c r="O44" s="43">
        <f>('Gain-Sub-Exp'!O48)</f>
        <v>37.386807649301623</v>
      </c>
      <c r="P44" s="43">
        <f t="shared" si="20"/>
        <v>6.8815691517006491E-2</v>
      </c>
      <c r="Q44" s="43"/>
      <c r="R44" s="42">
        <f t="shared" si="21"/>
        <v>24.016676339435243</v>
      </c>
      <c r="S44" s="43">
        <f t="shared" si="22"/>
        <v>10</v>
      </c>
      <c r="U44" s="42">
        <f t="shared" si="23"/>
        <v>137.20419724844194</v>
      </c>
      <c r="V44" s="43">
        <f t="shared" si="24"/>
        <v>5.1465677557859637</v>
      </c>
      <c r="W44" s="43">
        <f t="shared" si="25"/>
        <v>4.7528323414910583</v>
      </c>
      <c r="X44" s="43"/>
      <c r="Y44" s="43">
        <f t="shared" si="26"/>
        <v>0.8417022787381554</v>
      </c>
      <c r="AA44" s="44">
        <f t="shared" si="27"/>
        <v>7.3487988775523254</v>
      </c>
      <c r="AC44" s="44">
        <f t="shared" si="28"/>
        <v>8.3775877723442065</v>
      </c>
      <c r="AE44" s="45"/>
      <c r="AF44" s="45"/>
    </row>
    <row r="45" spans="1:32" x14ac:dyDescent="0.35">
      <c r="A45" s="37">
        <f t="shared" si="16"/>
        <v>400</v>
      </c>
      <c r="B45" s="39">
        <f t="shared" si="5"/>
        <v>2.2591999999997725E-2</v>
      </c>
      <c r="C45" s="40">
        <f t="shared" si="6"/>
        <v>145.23093257002208</v>
      </c>
      <c r="D45" s="41">
        <f t="shared" si="7"/>
        <v>6.6021679999999998</v>
      </c>
      <c r="E45" s="41">
        <f t="shared" si="8"/>
        <v>1.533329600000001</v>
      </c>
      <c r="G45" s="42">
        <v>10</v>
      </c>
      <c r="I45" s="43">
        <f t="shared" si="17"/>
        <v>50</v>
      </c>
      <c r="J45" s="40">
        <f t="shared" si="18"/>
        <v>1.1295999999998863</v>
      </c>
      <c r="K45" s="40"/>
      <c r="L45" s="42">
        <f>'Gain-Sub-Exp'!$D$19*E45^2/$R$2</f>
        <v>94.263215635882247</v>
      </c>
      <c r="M45" s="43">
        <f t="shared" si="19"/>
        <v>1.5710535939313708</v>
      </c>
      <c r="O45" s="43">
        <f>('Gain-Sub-Exp'!O49)</f>
        <v>38.190931379913835</v>
      </c>
      <c r="P45" s="43">
        <f t="shared" si="20"/>
        <v>6.7366752499603569E-2</v>
      </c>
      <c r="Q45" s="43"/>
      <c r="R45" s="42">
        <f t="shared" si="21"/>
        <v>23.510996622361628</v>
      </c>
      <c r="S45" s="43">
        <f t="shared" si="22"/>
        <v>10</v>
      </c>
      <c r="U45" s="42">
        <f t="shared" si="23"/>
        <v>120.52296919516095</v>
      </c>
      <c r="V45" s="43">
        <f t="shared" si="24"/>
        <v>5.0920980977488437</v>
      </c>
      <c r="W45" s="43">
        <f t="shared" si="25"/>
        <v>4.5805768692163769</v>
      </c>
      <c r="X45" s="43"/>
      <c r="Y45" s="43">
        <f t="shared" si="26"/>
        <v>0.82397993597278096</v>
      </c>
      <c r="AA45" s="44">
        <f t="shared" si="27"/>
        <v>7.1924831972664673</v>
      </c>
      <c r="AC45" s="44">
        <f t="shared" si="28"/>
        <v>8.3775877723442065</v>
      </c>
    </row>
    <row r="46" spans="1:32" x14ac:dyDescent="0.35">
      <c r="A46" s="33"/>
      <c r="B46" s="39"/>
      <c r="C46" s="40"/>
      <c r="J46" s="84"/>
      <c r="K46" s="84"/>
      <c r="AA46" s="84"/>
    </row>
    <row r="47" spans="1:32" ht="15" customHeight="1" x14ac:dyDescent="0.35">
      <c r="A47" s="138" t="s">
        <v>44</v>
      </c>
      <c r="B47" s="139"/>
      <c r="C47" s="139"/>
      <c r="D47" s="139"/>
      <c r="E47" s="139"/>
      <c r="F47" s="139"/>
      <c r="G47" s="140"/>
      <c r="H47" s="46"/>
      <c r="W47" s="32"/>
    </row>
    <row r="48" spans="1:32" ht="15" customHeight="1" x14ac:dyDescent="0.35">
      <c r="A48" s="134" t="s">
        <v>45</v>
      </c>
      <c r="B48" s="135"/>
      <c r="C48" s="135"/>
      <c r="D48" s="135"/>
      <c r="E48" s="135"/>
      <c r="F48" s="135"/>
      <c r="G48" s="136"/>
      <c r="H48" s="47"/>
      <c r="W48" s="32"/>
    </row>
    <row r="49" spans="1:23" ht="15" customHeight="1" x14ac:dyDescent="0.35">
      <c r="A49" s="134"/>
      <c r="B49" s="135"/>
      <c r="C49" s="135"/>
      <c r="D49" s="135"/>
      <c r="E49" s="135"/>
      <c r="F49" s="135"/>
      <c r="G49" s="136"/>
      <c r="H49" s="47"/>
      <c r="W49" s="32"/>
    </row>
    <row r="50" spans="1:23" ht="15" customHeight="1" x14ac:dyDescent="0.35">
      <c r="A50" s="134" t="s">
        <v>46</v>
      </c>
      <c r="B50" s="135"/>
      <c r="C50" s="135"/>
      <c r="D50" s="135"/>
      <c r="E50" s="135"/>
      <c r="F50" s="135"/>
      <c r="G50" s="136"/>
      <c r="H50" s="47"/>
      <c r="W50" s="32"/>
    </row>
    <row r="51" spans="1:23" ht="15" customHeight="1" x14ac:dyDescent="0.35">
      <c r="A51" s="134"/>
      <c r="B51" s="135"/>
      <c r="C51" s="135"/>
      <c r="D51" s="135"/>
      <c r="E51" s="135"/>
      <c r="F51" s="135"/>
      <c r="G51" s="136"/>
      <c r="H51" s="47"/>
      <c r="W51" s="32"/>
    </row>
    <row r="52" spans="1:23" ht="15.75" customHeight="1" x14ac:dyDescent="0.35">
      <c r="A52" s="134" t="s">
        <v>47</v>
      </c>
      <c r="B52" s="135"/>
      <c r="C52" s="135"/>
      <c r="D52" s="135"/>
      <c r="E52" s="135"/>
      <c r="F52" s="135"/>
      <c r="G52" s="136"/>
      <c r="H52" s="47"/>
      <c r="W52" s="32"/>
    </row>
    <row r="53" spans="1:23" ht="15.75" customHeight="1" x14ac:dyDescent="0.35">
      <c r="A53" s="134"/>
      <c r="B53" s="135"/>
      <c r="C53" s="135"/>
      <c r="D53" s="135"/>
      <c r="E53" s="135"/>
      <c r="F53" s="135"/>
      <c r="G53" s="136"/>
      <c r="H53" s="47"/>
      <c r="W53" s="32"/>
    </row>
    <row r="54" spans="1:23" ht="15.75" customHeight="1" x14ac:dyDescent="0.35">
      <c r="A54" s="134" t="s">
        <v>48</v>
      </c>
      <c r="B54" s="135"/>
      <c r="C54" s="135"/>
      <c r="D54" s="135"/>
      <c r="E54" s="135"/>
      <c r="F54" s="135"/>
      <c r="G54" s="136"/>
      <c r="H54" s="47"/>
      <c r="W54" s="32"/>
    </row>
    <row r="55" spans="1:23" ht="15.75" customHeight="1" x14ac:dyDescent="0.45">
      <c r="A55" s="134" t="s">
        <v>49</v>
      </c>
      <c r="B55" s="135"/>
      <c r="C55" s="135"/>
      <c r="D55" s="135"/>
      <c r="E55" s="135"/>
      <c r="F55" s="135"/>
      <c r="G55" s="136"/>
      <c r="H55" s="47"/>
      <c r="W55" s="32"/>
    </row>
    <row r="56" spans="1:23" ht="15.75" customHeight="1" x14ac:dyDescent="0.35">
      <c r="A56" s="134"/>
      <c r="B56" s="135"/>
      <c r="C56" s="135"/>
      <c r="D56" s="135"/>
      <c r="E56" s="135"/>
      <c r="F56" s="135"/>
      <c r="G56" s="136"/>
      <c r="H56" s="47"/>
      <c r="W56" s="32"/>
    </row>
    <row r="57" spans="1:23" x14ac:dyDescent="0.35">
      <c r="A57" s="134" t="s">
        <v>50</v>
      </c>
      <c r="B57" s="135"/>
      <c r="C57" s="135"/>
      <c r="D57" s="135"/>
      <c r="E57" s="135"/>
      <c r="F57" s="135"/>
      <c r="G57" s="136"/>
      <c r="H57" s="47"/>
    </row>
    <row r="58" spans="1:23" ht="16.5" x14ac:dyDescent="0.45">
      <c r="A58" s="134" t="s">
        <v>51</v>
      </c>
      <c r="B58" s="135"/>
      <c r="C58" s="135"/>
      <c r="D58" s="135"/>
      <c r="E58" s="135"/>
      <c r="F58" s="135"/>
      <c r="G58" s="136"/>
      <c r="H58" s="47"/>
    </row>
    <row r="59" spans="1:23" x14ac:dyDescent="0.35">
      <c r="A59" s="141"/>
      <c r="B59" s="142"/>
      <c r="C59" s="142"/>
      <c r="D59" s="142"/>
      <c r="E59" s="142"/>
      <c r="F59" s="142"/>
      <c r="G59" s="143"/>
      <c r="H59" s="46"/>
    </row>
    <row r="60" spans="1:23" ht="16.5" x14ac:dyDescent="0.35">
      <c r="A60" s="144" t="s">
        <v>52</v>
      </c>
      <c r="B60" s="145"/>
      <c r="C60" s="145"/>
      <c r="D60" s="145"/>
      <c r="E60" s="145"/>
      <c r="F60" s="145"/>
      <c r="G60" s="146"/>
      <c r="H60" s="47"/>
    </row>
  </sheetData>
  <mergeCells count="15">
    <mergeCell ref="A58:G58"/>
    <mergeCell ref="A59:G59"/>
    <mergeCell ref="A60:G60"/>
    <mergeCell ref="A52:G52"/>
    <mergeCell ref="A53:G53"/>
    <mergeCell ref="A54:G54"/>
    <mergeCell ref="A55:G55"/>
    <mergeCell ref="A56:G56"/>
    <mergeCell ref="A57:G57"/>
    <mergeCell ref="A51:G51"/>
    <mergeCell ref="A2:G2"/>
    <mergeCell ref="A47:G47"/>
    <mergeCell ref="A48:G48"/>
    <mergeCell ref="A49:G49"/>
    <mergeCell ref="A50:G50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W2"/>
  <sheetViews>
    <sheetView zoomScaleNormal="100" workbookViewId="0">
      <selection activeCell="B3" sqref="B3"/>
    </sheetView>
  </sheetViews>
  <sheetFormatPr defaultRowHeight="14.5" x14ac:dyDescent="0.35"/>
  <sheetData>
    <row r="1" spans="2:23" ht="14.5" customHeight="1" x14ac:dyDescent="0.35"/>
    <row r="2" spans="2:23" ht="25.5" customHeight="1" x14ac:dyDescent="0.45">
      <c r="B2" s="127" t="s">
        <v>124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O2" s="127" t="s">
        <v>123</v>
      </c>
      <c r="P2" s="127"/>
      <c r="Q2" s="127"/>
      <c r="R2" s="127"/>
      <c r="S2" s="127"/>
      <c r="T2" s="127"/>
      <c r="U2" s="127"/>
      <c r="V2" s="127"/>
      <c r="W2" s="127"/>
    </row>
  </sheetData>
  <mergeCells count="2">
    <mergeCell ref="B2:L2"/>
    <mergeCell ref="O2:W2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44"/>
  <sheetViews>
    <sheetView workbookViewId="0">
      <pane xSplit="18640" topLeftCell="V1"/>
      <selection activeCell="L5" sqref="L5"/>
      <selection pane="topRight" activeCell="O1" sqref="O1"/>
    </sheetView>
  </sheetViews>
  <sheetFormatPr defaultRowHeight="14.5" x14ac:dyDescent="0.35"/>
  <cols>
    <col min="1" max="5" width="8.81640625" style="12"/>
  </cols>
  <sheetData>
    <row r="1" spans="1:5" x14ac:dyDescent="0.35">
      <c r="A1" s="37" t="s">
        <v>72</v>
      </c>
      <c r="B1" s="37" t="s">
        <v>114</v>
      </c>
      <c r="C1" s="37" t="s">
        <v>115</v>
      </c>
      <c r="D1" s="37" t="s">
        <v>27</v>
      </c>
      <c r="E1" s="37" t="s">
        <v>28</v>
      </c>
    </row>
    <row r="2" spans="1:5" x14ac:dyDescent="0.35">
      <c r="A2" s="37">
        <v>0</v>
      </c>
      <c r="B2" s="37">
        <v>3.55</v>
      </c>
      <c r="C2" s="37">
        <v>2.75</v>
      </c>
      <c r="D2" s="37">
        <v>14550.19</v>
      </c>
      <c r="E2" s="37">
        <v>12</v>
      </c>
    </row>
    <row r="3" spans="1:5" x14ac:dyDescent="0.35">
      <c r="A3" s="37">
        <v>50</v>
      </c>
      <c r="B3" s="37">
        <v>2</v>
      </c>
      <c r="C3" s="37">
        <v>2.2400000000000002</v>
      </c>
      <c r="D3" s="37">
        <v>8182.64</v>
      </c>
      <c r="E3" s="37">
        <v>11.84</v>
      </c>
    </row>
    <row r="4" spans="1:5" x14ac:dyDescent="0.35">
      <c r="A4" s="37">
        <v>59</v>
      </c>
      <c r="B4" s="37">
        <v>1.8</v>
      </c>
      <c r="C4" s="37">
        <v>2.17</v>
      </c>
      <c r="D4" s="37">
        <v>7378.95</v>
      </c>
      <c r="E4" s="37">
        <v>11.73</v>
      </c>
    </row>
    <row r="5" spans="1:5" x14ac:dyDescent="0.35">
      <c r="A5" s="37">
        <v>61</v>
      </c>
      <c r="B5" s="37">
        <v>1.76</v>
      </c>
      <c r="C5" s="37">
        <v>2.16</v>
      </c>
      <c r="D5" s="37">
        <v>7198.19</v>
      </c>
      <c r="E5" s="37">
        <v>11.71</v>
      </c>
    </row>
    <row r="6" spans="1:5" x14ac:dyDescent="0.35">
      <c r="A6" s="37">
        <v>100</v>
      </c>
      <c r="B6" s="37">
        <v>1.1299999999999999</v>
      </c>
      <c r="C6" s="37">
        <v>1.95</v>
      </c>
      <c r="D6" s="37">
        <v>4610.57</v>
      </c>
      <c r="E6" s="37">
        <v>11.21</v>
      </c>
    </row>
    <row r="7" spans="1:5" x14ac:dyDescent="0.35">
      <c r="A7" s="37">
        <v>119</v>
      </c>
      <c r="B7" s="37">
        <v>0.91</v>
      </c>
      <c r="C7" s="37">
        <v>1.87</v>
      </c>
      <c r="D7" s="37">
        <v>3713.13</v>
      </c>
      <c r="E7" s="37">
        <v>10.95</v>
      </c>
    </row>
    <row r="8" spans="1:5" x14ac:dyDescent="0.35">
      <c r="A8" s="37">
        <v>121</v>
      </c>
      <c r="B8" s="37">
        <v>0.88</v>
      </c>
      <c r="C8" s="37">
        <v>1.85</v>
      </c>
      <c r="D8" s="37">
        <v>3618.43</v>
      </c>
      <c r="E8" s="37">
        <v>10.93</v>
      </c>
    </row>
    <row r="9" spans="1:5" x14ac:dyDescent="0.35">
      <c r="A9" s="37">
        <v>150</v>
      </c>
      <c r="B9" s="37">
        <v>0.64</v>
      </c>
      <c r="C9" s="37">
        <v>1.76</v>
      </c>
      <c r="D9" s="37">
        <v>2602.33</v>
      </c>
      <c r="E9" s="37">
        <v>10.53</v>
      </c>
    </row>
    <row r="10" spans="1:5" x14ac:dyDescent="0.35">
      <c r="A10" s="37">
        <v>200</v>
      </c>
      <c r="B10" s="37">
        <v>0.36</v>
      </c>
      <c r="C10" s="37">
        <v>1.63</v>
      </c>
      <c r="D10" s="37">
        <v>1465.01</v>
      </c>
      <c r="E10" s="37">
        <v>9.81</v>
      </c>
    </row>
    <row r="11" spans="1:5" x14ac:dyDescent="0.35">
      <c r="A11" s="37">
        <v>250</v>
      </c>
      <c r="B11" s="37">
        <v>0.2</v>
      </c>
      <c r="C11" s="37">
        <v>1.52</v>
      </c>
      <c r="D11" s="37">
        <v>831.97</v>
      </c>
      <c r="E11" s="37">
        <v>9.09</v>
      </c>
    </row>
    <row r="12" spans="1:5" x14ac:dyDescent="0.35">
      <c r="A12" s="37">
        <v>300</v>
      </c>
      <c r="B12" s="37">
        <v>0.11</v>
      </c>
      <c r="C12" s="37">
        <v>1.53</v>
      </c>
      <c r="D12" s="37">
        <v>465.39</v>
      </c>
      <c r="E12" s="37">
        <v>8.25</v>
      </c>
    </row>
    <row r="13" spans="1:5" x14ac:dyDescent="0.35">
      <c r="A13" s="37">
        <v>350</v>
      </c>
      <c r="B13" s="37">
        <v>0.06</v>
      </c>
      <c r="C13" s="37">
        <v>1.56</v>
      </c>
      <c r="D13" s="37">
        <v>259.36</v>
      </c>
      <c r="E13" s="37">
        <v>7.38</v>
      </c>
    </row>
    <row r="14" spans="1:5" x14ac:dyDescent="0.35">
      <c r="A14" s="37">
        <v>400</v>
      </c>
      <c r="B14" s="37">
        <v>0.04</v>
      </c>
      <c r="C14" s="37">
        <v>1.57</v>
      </c>
      <c r="D14" s="37">
        <v>146.19</v>
      </c>
      <c r="E14" s="37">
        <v>6.54</v>
      </c>
    </row>
    <row r="15" spans="1:5" x14ac:dyDescent="0.35">
      <c r="A15" s="37">
        <v>450</v>
      </c>
      <c r="B15" s="37">
        <v>0.02</v>
      </c>
      <c r="C15" s="37">
        <v>1.38</v>
      </c>
      <c r="D15" s="37">
        <v>81.36</v>
      </c>
      <c r="E15" s="37">
        <v>5.88</v>
      </c>
    </row>
    <row r="16" spans="1:5" x14ac:dyDescent="0.35">
      <c r="A16" s="37">
        <v>500</v>
      </c>
      <c r="B16" s="37">
        <v>0.01</v>
      </c>
      <c r="C16" s="37">
        <v>0.97</v>
      </c>
      <c r="D16" s="37">
        <v>45.09</v>
      </c>
      <c r="E16" s="37">
        <v>5.53</v>
      </c>
    </row>
    <row r="17" spans="1:2" x14ac:dyDescent="0.35">
      <c r="A17" s="85"/>
      <c r="B17" s="85"/>
    </row>
    <row r="19" spans="1:2" x14ac:dyDescent="0.35">
      <c r="A19" s="85"/>
      <c r="B19" s="85"/>
    </row>
    <row r="24" spans="1:2" x14ac:dyDescent="0.35">
      <c r="A24" s="85"/>
      <c r="B24" s="85"/>
    </row>
    <row r="29" spans="1:2" x14ac:dyDescent="0.35">
      <c r="A29" s="85"/>
      <c r="B29" s="85"/>
    </row>
    <row r="34" spans="1:2" x14ac:dyDescent="0.35">
      <c r="A34" s="85"/>
      <c r="B34" s="85"/>
    </row>
    <row r="39" spans="1:2" x14ac:dyDescent="0.35">
      <c r="A39" s="85"/>
      <c r="B39" s="85"/>
    </row>
    <row r="41" spans="1:2" x14ac:dyDescent="0.35">
      <c r="A41" s="37"/>
      <c r="B41" s="37"/>
    </row>
    <row r="42" spans="1:2" x14ac:dyDescent="0.35">
      <c r="A42" s="37"/>
      <c r="B42" s="37"/>
    </row>
    <row r="43" spans="1:2" x14ac:dyDescent="0.35">
      <c r="A43" s="37"/>
      <c r="B43" s="37"/>
    </row>
    <row r="44" spans="1:2" x14ac:dyDescent="0.35">
      <c r="A44" s="37"/>
      <c r="B44" s="37"/>
    </row>
  </sheetData>
  <pageMargins left="0.7" right="0.7" top="0.75" bottom="0.75" header="0.3" footer="0.3"/>
  <pageSetup scale="6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42"/>
  <sheetViews>
    <sheetView workbookViewId="0">
      <selection sqref="A1:E16"/>
    </sheetView>
  </sheetViews>
  <sheetFormatPr defaultRowHeight="14.5" x14ac:dyDescent="0.35"/>
  <cols>
    <col min="1" max="1" width="9.1796875" style="12"/>
    <col min="2" max="2" width="12.81640625" style="12" customWidth="1"/>
  </cols>
  <sheetData>
    <row r="1" spans="1:5" x14ac:dyDescent="0.35">
      <c r="A1" s="37" t="s">
        <v>72</v>
      </c>
      <c r="B1" s="37" t="s">
        <v>114</v>
      </c>
      <c r="C1" s="37" t="s">
        <v>115</v>
      </c>
      <c r="D1" s="37" t="s">
        <v>27</v>
      </c>
      <c r="E1" s="37" t="s">
        <v>28</v>
      </c>
    </row>
    <row r="2" spans="1:5" x14ac:dyDescent="0.35">
      <c r="A2" s="37">
        <v>0</v>
      </c>
      <c r="B2" s="37">
        <v>3.55</v>
      </c>
      <c r="C2" s="37">
        <v>2.75</v>
      </c>
      <c r="D2" s="37">
        <v>14550.19</v>
      </c>
      <c r="E2" s="37">
        <v>12</v>
      </c>
    </row>
    <row r="3" spans="1:5" x14ac:dyDescent="0.35">
      <c r="A3" s="37">
        <v>50</v>
      </c>
      <c r="B3" s="37">
        <v>2</v>
      </c>
      <c r="C3" s="37">
        <v>2.2400000000000002</v>
      </c>
      <c r="D3" s="37">
        <v>8182.64</v>
      </c>
      <c r="E3" s="37">
        <v>11.84</v>
      </c>
    </row>
    <row r="4" spans="1:5" x14ac:dyDescent="0.35">
      <c r="A4" s="37">
        <v>59</v>
      </c>
      <c r="B4" s="37">
        <v>1.8</v>
      </c>
      <c r="C4" s="37">
        <v>2.17</v>
      </c>
      <c r="D4" s="37">
        <v>7378.95</v>
      </c>
      <c r="E4" s="37">
        <v>11.73</v>
      </c>
    </row>
    <row r="5" spans="1:5" x14ac:dyDescent="0.35">
      <c r="A5" s="37">
        <v>61</v>
      </c>
      <c r="B5" s="37">
        <v>1.76</v>
      </c>
      <c r="C5" s="37">
        <v>2.16</v>
      </c>
      <c r="D5" s="37">
        <v>7198.19</v>
      </c>
      <c r="E5" s="37">
        <v>11.71</v>
      </c>
    </row>
    <row r="6" spans="1:5" x14ac:dyDescent="0.35">
      <c r="A6" s="37">
        <v>100</v>
      </c>
      <c r="B6" s="37">
        <v>1.1299999999999999</v>
      </c>
      <c r="C6" s="37">
        <v>1.95</v>
      </c>
      <c r="D6" s="37">
        <v>4610.57</v>
      </c>
      <c r="E6" s="37">
        <v>11.21</v>
      </c>
    </row>
    <row r="7" spans="1:5" x14ac:dyDescent="0.35">
      <c r="A7" s="37">
        <v>119</v>
      </c>
      <c r="B7" s="37">
        <v>0.91</v>
      </c>
      <c r="C7" s="37">
        <v>1.87</v>
      </c>
      <c r="D7" s="37">
        <v>3713.13</v>
      </c>
      <c r="E7" s="37">
        <v>10.95</v>
      </c>
    </row>
    <row r="8" spans="1:5" x14ac:dyDescent="0.35">
      <c r="A8" s="37">
        <v>121</v>
      </c>
      <c r="B8" s="37">
        <v>0.88</v>
      </c>
      <c r="C8" s="37">
        <v>1.85</v>
      </c>
      <c r="D8" s="37">
        <v>3618.43</v>
      </c>
      <c r="E8" s="37">
        <v>10.93</v>
      </c>
    </row>
    <row r="9" spans="1:5" x14ac:dyDescent="0.35">
      <c r="A9" s="37">
        <v>150</v>
      </c>
      <c r="B9" s="37">
        <v>0.64</v>
      </c>
      <c r="C9" s="37">
        <v>1.76</v>
      </c>
      <c r="D9" s="37">
        <v>2602.33</v>
      </c>
      <c r="E9" s="37">
        <v>10.53</v>
      </c>
    </row>
    <row r="10" spans="1:5" x14ac:dyDescent="0.35">
      <c r="A10" s="37">
        <v>200</v>
      </c>
      <c r="B10" s="37">
        <v>0.36</v>
      </c>
      <c r="C10" s="37">
        <v>1.63</v>
      </c>
      <c r="D10" s="37">
        <v>1465.01</v>
      </c>
      <c r="E10" s="37">
        <v>9.81</v>
      </c>
    </row>
    <row r="11" spans="1:5" x14ac:dyDescent="0.35">
      <c r="A11" s="37">
        <v>250</v>
      </c>
      <c r="B11" s="37">
        <v>0.2</v>
      </c>
      <c r="C11" s="37">
        <v>1.52</v>
      </c>
      <c r="D11" s="37">
        <v>831.97</v>
      </c>
      <c r="E11" s="37">
        <v>9.09</v>
      </c>
    </row>
    <row r="12" spans="1:5" x14ac:dyDescent="0.35">
      <c r="A12" s="37">
        <v>300</v>
      </c>
      <c r="B12" s="37">
        <v>0.11</v>
      </c>
      <c r="C12" s="37">
        <v>1.53</v>
      </c>
      <c r="D12" s="37">
        <v>465.39</v>
      </c>
      <c r="E12" s="37">
        <v>8.25</v>
      </c>
    </row>
    <row r="13" spans="1:5" x14ac:dyDescent="0.35">
      <c r="A13" s="37">
        <v>350</v>
      </c>
      <c r="B13" s="37">
        <v>0.06</v>
      </c>
      <c r="C13" s="37">
        <v>1.56</v>
      </c>
      <c r="D13" s="37">
        <v>259.36</v>
      </c>
      <c r="E13" s="37">
        <v>7.38</v>
      </c>
    </row>
    <row r="14" spans="1:5" x14ac:dyDescent="0.35">
      <c r="A14" s="37">
        <v>400</v>
      </c>
      <c r="B14" s="37">
        <v>0.04</v>
      </c>
      <c r="C14" s="37">
        <v>1.57</v>
      </c>
      <c r="D14" s="37">
        <v>146.19</v>
      </c>
      <c r="E14" s="37">
        <v>6.54</v>
      </c>
    </row>
    <row r="15" spans="1:5" x14ac:dyDescent="0.35">
      <c r="A15" s="37">
        <v>450</v>
      </c>
      <c r="B15" s="37">
        <v>0.02</v>
      </c>
      <c r="C15" s="37">
        <v>1.38</v>
      </c>
      <c r="D15" s="37">
        <v>81.36</v>
      </c>
      <c r="E15" s="37">
        <v>5.88</v>
      </c>
    </row>
    <row r="16" spans="1:5" x14ac:dyDescent="0.35">
      <c r="A16" s="37">
        <v>500</v>
      </c>
      <c r="B16" s="37">
        <v>0.01</v>
      </c>
      <c r="C16" s="37">
        <v>0.97</v>
      </c>
      <c r="D16" s="37">
        <v>45.09</v>
      </c>
      <c r="E16" s="37">
        <v>5.53</v>
      </c>
    </row>
    <row r="17" spans="1:2" x14ac:dyDescent="0.35">
      <c r="A17" s="85"/>
      <c r="B17" s="39"/>
    </row>
    <row r="18" spans="1:2" x14ac:dyDescent="0.35">
      <c r="B18" s="39"/>
    </row>
    <row r="19" spans="1:2" x14ac:dyDescent="0.35">
      <c r="B19" s="39"/>
    </row>
    <row r="20" spans="1:2" x14ac:dyDescent="0.35">
      <c r="B20" s="39"/>
    </row>
    <row r="21" spans="1:2" x14ac:dyDescent="0.35">
      <c r="B21" s="39"/>
    </row>
    <row r="22" spans="1:2" x14ac:dyDescent="0.35">
      <c r="A22" s="85"/>
      <c r="B22" s="39"/>
    </row>
    <row r="23" spans="1:2" x14ac:dyDescent="0.35">
      <c r="B23" s="39"/>
    </row>
    <row r="24" spans="1:2" x14ac:dyDescent="0.35">
      <c r="B24" s="39"/>
    </row>
    <row r="25" spans="1:2" x14ac:dyDescent="0.35">
      <c r="B25" s="39"/>
    </row>
    <row r="26" spans="1:2" x14ac:dyDescent="0.35">
      <c r="B26" s="39"/>
    </row>
    <row r="27" spans="1:2" x14ac:dyDescent="0.35">
      <c r="A27" s="85"/>
      <c r="B27" s="39"/>
    </row>
    <row r="28" spans="1:2" x14ac:dyDescent="0.35">
      <c r="B28" s="39"/>
    </row>
    <row r="29" spans="1:2" x14ac:dyDescent="0.35">
      <c r="B29" s="39"/>
    </row>
    <row r="30" spans="1:2" x14ac:dyDescent="0.35">
      <c r="B30" s="39"/>
    </row>
    <row r="31" spans="1:2" x14ac:dyDescent="0.35">
      <c r="B31" s="39"/>
    </row>
    <row r="32" spans="1:2" x14ac:dyDescent="0.35">
      <c r="A32" s="85"/>
      <c r="B32" s="39"/>
    </row>
    <row r="33" spans="1:2" x14ac:dyDescent="0.35">
      <c r="B33" s="39"/>
    </row>
    <row r="34" spans="1:2" x14ac:dyDescent="0.35">
      <c r="B34" s="39"/>
    </row>
    <row r="35" spans="1:2" x14ac:dyDescent="0.35">
      <c r="B35" s="39"/>
    </row>
    <row r="36" spans="1:2" x14ac:dyDescent="0.35">
      <c r="B36" s="39"/>
    </row>
    <row r="37" spans="1:2" x14ac:dyDescent="0.35">
      <c r="A37" s="85"/>
      <c r="B37" s="39"/>
    </row>
    <row r="38" spans="1:2" x14ac:dyDescent="0.35">
      <c r="B38" s="39"/>
    </row>
    <row r="39" spans="1:2" x14ac:dyDescent="0.35">
      <c r="A39" s="37"/>
      <c r="B39" s="39"/>
    </row>
    <row r="40" spans="1:2" x14ac:dyDescent="0.35">
      <c r="A40" s="37"/>
      <c r="B40" s="39"/>
    </row>
    <row r="41" spans="1:2" x14ac:dyDescent="0.35">
      <c r="A41" s="37"/>
      <c r="B41" s="39"/>
    </row>
    <row r="42" spans="1:2" x14ac:dyDescent="0.35">
      <c r="A42" s="37"/>
      <c r="B42" s="39"/>
    </row>
  </sheetData>
  <pageMargins left="0.7" right="0.7" top="0.75" bottom="0.75" header="0.3" footer="0.3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2"/>
  <sheetViews>
    <sheetView zoomScale="115" zoomScaleNormal="115" workbookViewId="0">
      <selection sqref="A1:E16"/>
    </sheetView>
  </sheetViews>
  <sheetFormatPr defaultRowHeight="14.5" x14ac:dyDescent="0.35"/>
  <cols>
    <col min="1" max="1" width="9.1796875" style="12"/>
    <col min="2" max="2" width="12.81640625" style="12" customWidth="1"/>
  </cols>
  <sheetData>
    <row r="1" spans="1:5" x14ac:dyDescent="0.35">
      <c r="A1" s="37" t="s">
        <v>72</v>
      </c>
      <c r="B1" s="37" t="s">
        <v>114</v>
      </c>
      <c r="C1" s="37" t="s">
        <v>115</v>
      </c>
      <c r="D1" s="37" t="s">
        <v>27</v>
      </c>
      <c r="E1" s="37" t="s">
        <v>28</v>
      </c>
    </row>
    <row r="2" spans="1:5" x14ac:dyDescent="0.35">
      <c r="A2" s="37">
        <v>0</v>
      </c>
      <c r="B2" s="37">
        <v>3.55</v>
      </c>
      <c r="C2" s="37">
        <v>2.75</v>
      </c>
      <c r="D2" s="37">
        <v>14550.19</v>
      </c>
      <c r="E2" s="37">
        <v>12</v>
      </c>
    </row>
    <row r="3" spans="1:5" x14ac:dyDescent="0.35">
      <c r="A3" s="37">
        <v>50</v>
      </c>
      <c r="B3" s="37">
        <v>2</v>
      </c>
      <c r="C3" s="37">
        <v>2.2400000000000002</v>
      </c>
      <c r="D3" s="37">
        <v>8182.64</v>
      </c>
      <c r="E3" s="37">
        <v>11.84</v>
      </c>
    </row>
    <row r="4" spans="1:5" x14ac:dyDescent="0.35">
      <c r="A4" s="37">
        <v>59</v>
      </c>
      <c r="B4" s="37">
        <v>1.8</v>
      </c>
      <c r="C4" s="37">
        <v>2.17</v>
      </c>
      <c r="D4" s="37">
        <v>7378.95</v>
      </c>
      <c r="E4" s="37">
        <v>11.73</v>
      </c>
    </row>
    <row r="5" spans="1:5" x14ac:dyDescent="0.35">
      <c r="A5" s="37">
        <v>61</v>
      </c>
      <c r="B5" s="37">
        <v>1.76</v>
      </c>
      <c r="C5" s="37">
        <v>2.16</v>
      </c>
      <c r="D5" s="37">
        <v>7198.19</v>
      </c>
      <c r="E5" s="37">
        <v>11.71</v>
      </c>
    </row>
    <row r="6" spans="1:5" x14ac:dyDescent="0.35">
      <c r="A6" s="37">
        <v>100</v>
      </c>
      <c r="B6" s="37">
        <v>1.1299999999999999</v>
      </c>
      <c r="C6" s="37">
        <v>1.95</v>
      </c>
      <c r="D6" s="37">
        <v>4610.57</v>
      </c>
      <c r="E6" s="37">
        <v>11.21</v>
      </c>
    </row>
    <row r="7" spans="1:5" x14ac:dyDescent="0.35">
      <c r="A7" s="37">
        <v>119</v>
      </c>
      <c r="B7" s="37">
        <v>0.91</v>
      </c>
      <c r="C7" s="37">
        <v>1.87</v>
      </c>
      <c r="D7" s="37">
        <v>3713.13</v>
      </c>
      <c r="E7" s="37">
        <v>10.95</v>
      </c>
    </row>
    <row r="8" spans="1:5" x14ac:dyDescent="0.35">
      <c r="A8" s="37">
        <v>121</v>
      </c>
      <c r="B8" s="37">
        <v>0.88</v>
      </c>
      <c r="C8" s="37">
        <v>1.85</v>
      </c>
      <c r="D8" s="37">
        <v>3618.43</v>
      </c>
      <c r="E8" s="37">
        <v>10.93</v>
      </c>
    </row>
    <row r="9" spans="1:5" x14ac:dyDescent="0.35">
      <c r="A9" s="37">
        <v>150</v>
      </c>
      <c r="B9" s="37">
        <v>0.64</v>
      </c>
      <c r="C9" s="37">
        <v>1.76</v>
      </c>
      <c r="D9" s="37">
        <v>2602.33</v>
      </c>
      <c r="E9" s="37">
        <v>10.53</v>
      </c>
    </row>
    <row r="10" spans="1:5" x14ac:dyDescent="0.35">
      <c r="A10" s="37">
        <v>200</v>
      </c>
      <c r="B10" s="37">
        <v>0.36</v>
      </c>
      <c r="C10" s="37">
        <v>1.63</v>
      </c>
      <c r="D10" s="37">
        <v>1465.01</v>
      </c>
      <c r="E10" s="37">
        <v>9.81</v>
      </c>
    </row>
    <row r="11" spans="1:5" x14ac:dyDescent="0.35">
      <c r="A11" s="37">
        <v>250</v>
      </c>
      <c r="B11" s="37">
        <v>0.2</v>
      </c>
      <c r="C11" s="37">
        <v>1.52</v>
      </c>
      <c r="D11" s="37">
        <v>831.97</v>
      </c>
      <c r="E11" s="37">
        <v>9.09</v>
      </c>
    </row>
    <row r="12" spans="1:5" x14ac:dyDescent="0.35">
      <c r="A12" s="37">
        <v>300</v>
      </c>
      <c r="B12" s="37">
        <v>0.11</v>
      </c>
      <c r="C12" s="37">
        <v>1.53</v>
      </c>
      <c r="D12" s="37">
        <v>465.39</v>
      </c>
      <c r="E12" s="37">
        <v>8.25</v>
      </c>
    </row>
    <row r="13" spans="1:5" x14ac:dyDescent="0.35">
      <c r="A13" s="37">
        <v>350</v>
      </c>
      <c r="B13" s="37">
        <v>0.06</v>
      </c>
      <c r="C13" s="37">
        <v>1.56</v>
      </c>
      <c r="D13" s="37">
        <v>259.36</v>
      </c>
      <c r="E13" s="37">
        <v>7.38</v>
      </c>
    </row>
    <row r="14" spans="1:5" x14ac:dyDescent="0.35">
      <c r="A14" s="37">
        <v>400</v>
      </c>
      <c r="B14" s="37">
        <v>0.04</v>
      </c>
      <c r="C14" s="37">
        <v>1.57</v>
      </c>
      <c r="D14" s="37">
        <v>146.19</v>
      </c>
      <c r="E14" s="37">
        <v>6.54</v>
      </c>
    </row>
    <row r="15" spans="1:5" x14ac:dyDescent="0.35">
      <c r="A15" s="37">
        <v>450</v>
      </c>
      <c r="B15" s="37">
        <v>0.02</v>
      </c>
      <c r="C15" s="37">
        <v>1.38</v>
      </c>
      <c r="D15" s="37">
        <v>81.36</v>
      </c>
      <c r="E15" s="37">
        <v>5.88</v>
      </c>
    </row>
    <row r="16" spans="1:5" x14ac:dyDescent="0.35">
      <c r="A16" s="37">
        <v>500</v>
      </c>
      <c r="B16" s="37">
        <v>0.01</v>
      </c>
      <c r="C16" s="37">
        <v>0.97</v>
      </c>
      <c r="D16" s="37">
        <v>45.09</v>
      </c>
      <c r="E16" s="37">
        <v>5.53</v>
      </c>
    </row>
    <row r="17" spans="1:2" x14ac:dyDescent="0.35">
      <c r="A17" s="85"/>
      <c r="B17" s="39"/>
    </row>
    <row r="18" spans="1:2" x14ac:dyDescent="0.35">
      <c r="B18" s="39"/>
    </row>
    <row r="19" spans="1:2" x14ac:dyDescent="0.35">
      <c r="B19" s="39"/>
    </row>
    <row r="20" spans="1:2" x14ac:dyDescent="0.35">
      <c r="B20" s="39"/>
    </row>
    <row r="21" spans="1:2" x14ac:dyDescent="0.35">
      <c r="B21" s="39"/>
    </row>
    <row r="22" spans="1:2" x14ac:dyDescent="0.35">
      <c r="A22" s="85"/>
      <c r="B22" s="39"/>
    </row>
    <row r="23" spans="1:2" x14ac:dyDescent="0.35">
      <c r="B23" s="39"/>
    </row>
    <row r="24" spans="1:2" x14ac:dyDescent="0.35">
      <c r="B24" s="39"/>
    </row>
    <row r="25" spans="1:2" x14ac:dyDescent="0.35">
      <c r="B25" s="39"/>
    </row>
    <row r="26" spans="1:2" x14ac:dyDescent="0.35">
      <c r="B26" s="39"/>
    </row>
    <row r="27" spans="1:2" x14ac:dyDescent="0.35">
      <c r="A27" s="85"/>
      <c r="B27" s="39"/>
    </row>
    <row r="28" spans="1:2" x14ac:dyDescent="0.35">
      <c r="B28" s="39"/>
    </row>
    <row r="29" spans="1:2" x14ac:dyDescent="0.35">
      <c r="B29" s="39"/>
    </row>
    <row r="30" spans="1:2" x14ac:dyDescent="0.35">
      <c r="B30" s="39"/>
    </row>
    <row r="31" spans="1:2" x14ac:dyDescent="0.35">
      <c r="B31" s="39"/>
    </row>
    <row r="32" spans="1:2" x14ac:dyDescent="0.35">
      <c r="A32" s="85"/>
      <c r="B32" s="39"/>
    </row>
    <row r="33" spans="1:2" x14ac:dyDescent="0.35">
      <c r="B33" s="39"/>
    </row>
    <row r="34" spans="1:2" x14ac:dyDescent="0.35">
      <c r="B34" s="39"/>
    </row>
    <row r="35" spans="1:2" x14ac:dyDescent="0.35">
      <c r="B35" s="39"/>
    </row>
    <row r="36" spans="1:2" x14ac:dyDescent="0.35">
      <c r="B36" s="39"/>
    </row>
    <row r="37" spans="1:2" x14ac:dyDescent="0.35">
      <c r="A37" s="85"/>
      <c r="B37" s="39"/>
    </row>
    <row r="38" spans="1:2" x14ac:dyDescent="0.35">
      <c r="B38" s="39"/>
    </row>
    <row r="39" spans="1:2" x14ac:dyDescent="0.35">
      <c r="A39" s="37"/>
      <c r="B39" s="39"/>
    </row>
    <row r="40" spans="1:2" x14ac:dyDescent="0.35">
      <c r="A40" s="37"/>
      <c r="B40" s="39"/>
    </row>
    <row r="41" spans="1:2" x14ac:dyDescent="0.35">
      <c r="A41" s="37"/>
      <c r="B41" s="39"/>
    </row>
    <row r="42" spans="1:2" x14ac:dyDescent="0.35">
      <c r="A42" s="37"/>
      <c r="B42" s="39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2"/>
  <sheetViews>
    <sheetView zoomScaleNormal="100" workbookViewId="0">
      <selection activeCell="I20" sqref="I20"/>
    </sheetView>
  </sheetViews>
  <sheetFormatPr defaultRowHeight="14.5" x14ac:dyDescent="0.35"/>
  <cols>
    <col min="1" max="1" width="9.1796875" style="12"/>
    <col min="2" max="2" width="12.81640625" style="12" customWidth="1"/>
  </cols>
  <sheetData>
    <row r="1" spans="1:5" x14ac:dyDescent="0.35">
      <c r="A1" s="37" t="s">
        <v>72</v>
      </c>
      <c r="B1" s="37" t="s">
        <v>114</v>
      </c>
      <c r="C1" s="37" t="s">
        <v>115</v>
      </c>
      <c r="D1" s="37" t="s">
        <v>27</v>
      </c>
      <c r="E1" s="37" t="s">
        <v>28</v>
      </c>
    </row>
    <row r="2" spans="1:5" x14ac:dyDescent="0.35">
      <c r="A2" s="37">
        <v>0</v>
      </c>
      <c r="B2" s="37">
        <v>3.55</v>
      </c>
      <c r="C2" s="37">
        <v>2.75</v>
      </c>
      <c r="D2" s="37">
        <v>14550.19</v>
      </c>
      <c r="E2" s="37">
        <v>12</v>
      </c>
    </row>
    <row r="3" spans="1:5" x14ac:dyDescent="0.35">
      <c r="A3" s="37">
        <v>50</v>
      </c>
      <c r="B3" s="37">
        <v>2</v>
      </c>
      <c r="C3" s="37">
        <v>2.2400000000000002</v>
      </c>
      <c r="D3" s="37">
        <v>8182.64</v>
      </c>
      <c r="E3" s="37">
        <v>11.84</v>
      </c>
    </row>
    <row r="4" spans="1:5" x14ac:dyDescent="0.35">
      <c r="A4" s="37">
        <v>59</v>
      </c>
      <c r="B4" s="37">
        <v>1.8</v>
      </c>
      <c r="C4" s="37">
        <v>2.17</v>
      </c>
      <c r="D4" s="37">
        <v>7378.95</v>
      </c>
      <c r="E4" s="37">
        <v>11.73</v>
      </c>
    </row>
    <row r="5" spans="1:5" x14ac:dyDescent="0.35">
      <c r="A5" s="37">
        <v>61</v>
      </c>
      <c r="B5" s="37">
        <v>1.76</v>
      </c>
      <c r="C5" s="37">
        <v>2.16</v>
      </c>
      <c r="D5" s="37">
        <v>7198.19</v>
      </c>
      <c r="E5" s="37">
        <v>11.71</v>
      </c>
    </row>
    <row r="6" spans="1:5" x14ac:dyDescent="0.35">
      <c r="A6" s="37">
        <v>100</v>
      </c>
      <c r="B6" s="37">
        <v>1.1299999999999999</v>
      </c>
      <c r="C6" s="37">
        <v>1.95</v>
      </c>
      <c r="D6" s="37">
        <v>4610.57</v>
      </c>
      <c r="E6" s="37">
        <v>11.21</v>
      </c>
    </row>
    <row r="7" spans="1:5" x14ac:dyDescent="0.35">
      <c r="A7" s="37">
        <v>119</v>
      </c>
      <c r="B7" s="37">
        <v>0.91</v>
      </c>
      <c r="C7" s="37">
        <v>1.87</v>
      </c>
      <c r="D7" s="37">
        <v>3713.13</v>
      </c>
      <c r="E7" s="37">
        <v>10.95</v>
      </c>
    </row>
    <row r="8" spans="1:5" x14ac:dyDescent="0.35">
      <c r="A8" s="37">
        <v>121</v>
      </c>
      <c r="B8" s="37">
        <v>0.88</v>
      </c>
      <c r="C8" s="37">
        <v>1.85</v>
      </c>
      <c r="D8" s="37">
        <v>3618.43</v>
      </c>
      <c r="E8" s="37">
        <v>10.93</v>
      </c>
    </row>
    <row r="9" spans="1:5" x14ac:dyDescent="0.35">
      <c r="A9" s="37">
        <v>150</v>
      </c>
      <c r="B9" s="37">
        <v>0.64</v>
      </c>
      <c r="C9" s="37">
        <v>1.76</v>
      </c>
      <c r="D9" s="37">
        <v>2602.33</v>
      </c>
      <c r="E9" s="37">
        <v>10.53</v>
      </c>
    </row>
    <row r="10" spans="1:5" x14ac:dyDescent="0.35">
      <c r="A10" s="37">
        <v>200</v>
      </c>
      <c r="B10" s="37">
        <v>0.36</v>
      </c>
      <c r="C10" s="37">
        <v>1.63</v>
      </c>
      <c r="D10" s="37">
        <v>1465.01</v>
      </c>
      <c r="E10" s="37">
        <v>9.81</v>
      </c>
    </row>
    <row r="11" spans="1:5" x14ac:dyDescent="0.35">
      <c r="A11" s="37">
        <v>250</v>
      </c>
      <c r="B11" s="37">
        <v>0.2</v>
      </c>
      <c r="C11" s="37">
        <v>1.52</v>
      </c>
      <c r="D11" s="37">
        <v>831.97</v>
      </c>
      <c r="E11" s="37">
        <v>9.09</v>
      </c>
    </row>
    <row r="12" spans="1:5" x14ac:dyDescent="0.35">
      <c r="A12" s="37">
        <v>300</v>
      </c>
      <c r="B12" s="37">
        <v>0.11</v>
      </c>
      <c r="C12" s="37">
        <v>1.53</v>
      </c>
      <c r="D12" s="37">
        <v>465.39</v>
      </c>
      <c r="E12" s="37">
        <v>8.25</v>
      </c>
    </row>
    <row r="13" spans="1:5" x14ac:dyDescent="0.35">
      <c r="A13" s="37">
        <v>350</v>
      </c>
      <c r="B13" s="37">
        <v>0.06</v>
      </c>
      <c r="C13" s="37">
        <v>1.56</v>
      </c>
      <c r="D13" s="37">
        <v>259.36</v>
      </c>
      <c r="E13" s="37">
        <v>7.38</v>
      </c>
    </row>
    <row r="14" spans="1:5" x14ac:dyDescent="0.35">
      <c r="A14" s="37">
        <v>400</v>
      </c>
      <c r="B14" s="37">
        <v>0.04</v>
      </c>
      <c r="C14" s="37">
        <v>1.57</v>
      </c>
      <c r="D14" s="37">
        <v>146.19</v>
      </c>
      <c r="E14" s="37">
        <v>6.54</v>
      </c>
    </row>
    <row r="15" spans="1:5" x14ac:dyDescent="0.35">
      <c r="A15" s="37">
        <v>450</v>
      </c>
      <c r="B15" s="37">
        <v>0.02</v>
      </c>
      <c r="C15" s="37">
        <v>1.38</v>
      </c>
      <c r="D15" s="37">
        <v>81.36</v>
      </c>
      <c r="E15" s="37">
        <v>5.88</v>
      </c>
    </row>
    <row r="16" spans="1:5" x14ac:dyDescent="0.35">
      <c r="A16" s="37">
        <v>500</v>
      </c>
      <c r="B16" s="37">
        <v>0.01</v>
      </c>
      <c r="C16" s="37">
        <v>0.97</v>
      </c>
      <c r="D16" s="37">
        <v>45.09</v>
      </c>
      <c r="E16" s="37">
        <v>5.53</v>
      </c>
    </row>
    <row r="17" spans="1:2" x14ac:dyDescent="0.35">
      <c r="A17" s="85"/>
      <c r="B17" s="39"/>
    </row>
    <row r="18" spans="1:2" x14ac:dyDescent="0.35">
      <c r="B18" s="39"/>
    </row>
    <row r="19" spans="1:2" x14ac:dyDescent="0.35">
      <c r="B19" s="39"/>
    </row>
    <row r="20" spans="1:2" x14ac:dyDescent="0.35">
      <c r="B20" s="39"/>
    </row>
    <row r="21" spans="1:2" x14ac:dyDescent="0.35">
      <c r="B21" s="39"/>
    </row>
    <row r="22" spans="1:2" x14ac:dyDescent="0.35">
      <c r="A22" s="85"/>
      <c r="B22" s="39"/>
    </row>
    <row r="23" spans="1:2" x14ac:dyDescent="0.35">
      <c r="B23" s="39"/>
    </row>
    <row r="24" spans="1:2" x14ac:dyDescent="0.35">
      <c r="B24" s="39"/>
    </row>
    <row r="25" spans="1:2" x14ac:dyDescent="0.35">
      <c r="B25" s="39"/>
    </row>
    <row r="26" spans="1:2" x14ac:dyDescent="0.35">
      <c r="B26" s="39"/>
    </row>
    <row r="27" spans="1:2" x14ac:dyDescent="0.35">
      <c r="A27" s="85"/>
      <c r="B27" s="39"/>
    </row>
    <row r="28" spans="1:2" x14ac:dyDescent="0.35">
      <c r="B28" s="39"/>
    </row>
    <row r="29" spans="1:2" x14ac:dyDescent="0.35">
      <c r="B29" s="39"/>
    </row>
    <row r="30" spans="1:2" x14ac:dyDescent="0.35">
      <c r="B30" s="39"/>
    </row>
    <row r="31" spans="1:2" x14ac:dyDescent="0.35">
      <c r="B31" s="39"/>
    </row>
    <row r="32" spans="1:2" x14ac:dyDescent="0.35">
      <c r="A32" s="85"/>
      <c r="B32" s="39"/>
    </row>
    <row r="33" spans="1:2" x14ac:dyDescent="0.35">
      <c r="B33" s="39"/>
    </row>
    <row r="34" spans="1:2" x14ac:dyDescent="0.35">
      <c r="B34" s="39"/>
    </row>
    <row r="35" spans="1:2" x14ac:dyDescent="0.35">
      <c r="B35" s="39"/>
    </row>
    <row r="36" spans="1:2" x14ac:dyDescent="0.35">
      <c r="B36" s="39"/>
    </row>
    <row r="37" spans="1:2" x14ac:dyDescent="0.35">
      <c r="A37" s="85"/>
      <c r="B37" s="39"/>
    </row>
    <row r="38" spans="1:2" x14ac:dyDescent="0.35">
      <c r="B38" s="39"/>
    </row>
    <row r="39" spans="1:2" x14ac:dyDescent="0.35">
      <c r="A39" s="37"/>
      <c r="B39" s="39"/>
    </row>
    <row r="40" spans="1:2" x14ac:dyDescent="0.35">
      <c r="A40" s="37"/>
      <c r="B40" s="39"/>
    </row>
    <row r="41" spans="1:2" x14ac:dyDescent="0.35">
      <c r="A41" s="37"/>
      <c r="B41" s="39"/>
    </row>
    <row r="42" spans="1:2" x14ac:dyDescent="0.35">
      <c r="A42" s="37"/>
      <c r="B42" s="39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"/>
  <sheetViews>
    <sheetView workbookViewId="0">
      <selection activeCell="L12" sqref="L12"/>
    </sheetView>
  </sheetViews>
  <sheetFormatPr defaultRowHeight="14.5" x14ac:dyDescent="0.35"/>
  <cols>
    <col min="1" max="1" width="8.81640625" style="12"/>
    <col min="3" max="3" width="8.81640625" style="12"/>
  </cols>
  <sheetData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Gain-Sub-Exp</vt:lpstr>
      <vt:lpstr>Filters</vt:lpstr>
      <vt:lpstr>Skyflux</vt:lpstr>
      <vt:lpstr>ASI294-BIN-1specs</vt:lpstr>
      <vt:lpstr>ANDY-data</vt:lpstr>
      <vt:lpstr>FWC</vt:lpstr>
      <vt:lpstr>Gain</vt:lpstr>
      <vt:lpstr>DR</vt:lpstr>
      <vt:lpstr>Read Noise</vt:lpstr>
      <vt:lpstr>Offset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Bellavia, Steven</dc:creator>
  <cp:lastModifiedBy>Bellavia, Steven</cp:lastModifiedBy>
  <cp:lastPrinted>2021-01-24T14:44:53Z</cp:lastPrinted>
  <dcterms:created xsi:type="dcterms:W3CDTF">2018-08-21T15:42:24Z</dcterms:created>
  <dcterms:modified xsi:type="dcterms:W3CDTF">2021-05-04T16:43:50Z</dcterms:modified>
</cp:coreProperties>
</file>