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9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llavia\Documents\AP\ZWO_Gain-SubExposure\"/>
    </mc:Choice>
  </mc:AlternateContent>
  <xr:revisionPtr revIDLastSave="0" documentId="8_{5B1AB533-18AD-44DD-A246-76CB3865C051}" xr6:coauthVersionLast="46" xr6:coauthVersionMax="46" xr10:uidLastSave="{00000000-0000-0000-0000-000000000000}"/>
  <bookViews>
    <workbookView xWindow="360" yWindow="120" windowWidth="18710" windowHeight="9890" xr2:uid="{00000000-000D-0000-FFFF-FFFF00000000}"/>
  </bookViews>
  <sheets>
    <sheet name="Gain-Sub-Exp" sheetId="5" r:id="rId1"/>
    <sheet name="Filters" sheetId="13" r:id="rId2"/>
    <sheet name="Skyflux" sheetId="3" r:id="rId3"/>
    <sheet name="ASI294-specs-DR-SNR" sheetId="4" r:id="rId4"/>
    <sheet name="graphs" sheetId="8" r:id="rId5"/>
    <sheet name="FWC" sheetId="9" r:id="rId6"/>
    <sheet name="Gain" sheetId="10" r:id="rId7"/>
    <sheet name="DR" sheetId="11" r:id="rId8"/>
    <sheet name="Read Noise" sheetId="12" r:id="rId9"/>
    <sheet name="Offset" sheetId="7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6" i="4" l="1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5" i="4"/>
  <c r="D15" i="5"/>
  <c r="D14" i="5"/>
  <c r="B10" i="13"/>
  <c r="D10" i="5" l="1"/>
  <c r="D31" i="5" l="1"/>
  <c r="D24" i="5"/>
  <c r="D32" i="5" l="1"/>
  <c r="AE2" i="4" s="1"/>
  <c r="D5" i="4"/>
  <c r="E5" i="4" l="1"/>
  <c r="C46" i="5" l="1"/>
  <c r="C45" i="5"/>
  <c r="C44" i="5"/>
  <c r="C43" i="5"/>
  <c r="C42" i="5"/>
  <c r="C41" i="5"/>
  <c r="C40" i="5"/>
  <c r="C39" i="5"/>
  <c r="C38" i="5"/>
  <c r="C37" i="5"/>
  <c r="K17" i="7" l="1"/>
  <c r="K18" i="7" s="1"/>
  <c r="K19" i="7" s="1"/>
  <c r="K20" i="7" s="1"/>
  <c r="K21" i="7" s="1"/>
  <c r="K22" i="7" s="1"/>
  <c r="K23" i="7" s="1"/>
  <c r="K24" i="7" s="1"/>
  <c r="K25" i="7" s="1"/>
  <c r="K26" i="7" s="1"/>
  <c r="K27" i="7" s="1"/>
  <c r="K28" i="7" s="1"/>
  <c r="K29" i="7" s="1"/>
  <c r="K30" i="7" s="1"/>
  <c r="I5" i="4"/>
  <c r="K3" i="7"/>
  <c r="K4" i="7" s="1"/>
  <c r="K5" i="7" s="1"/>
  <c r="K6" i="7" s="1"/>
  <c r="K7" i="7" s="1"/>
  <c r="K8" i="7" s="1"/>
  <c r="K9" i="7" s="1"/>
  <c r="K10" i="7" s="1"/>
  <c r="K11" i="7" s="1"/>
  <c r="K12" i="7" s="1"/>
  <c r="K13" i="7" s="1"/>
  <c r="H32" i="5" l="1"/>
  <c r="H15" i="5" l="1"/>
  <c r="H14" i="5"/>
  <c r="H13" i="5"/>
  <c r="H25" i="5" l="1"/>
  <c r="J25" i="5" s="1"/>
  <c r="H24" i="5"/>
  <c r="J24" i="5" s="1"/>
  <c r="M10" i="5"/>
  <c r="M11" i="5" s="1"/>
  <c r="M12" i="5" s="1"/>
  <c r="M13" i="5" s="1"/>
  <c r="M14" i="5" s="1"/>
  <c r="M15" i="5" s="1"/>
  <c r="M16" i="5" s="1"/>
  <c r="M17" i="5" s="1"/>
  <c r="M18" i="5" s="1"/>
  <c r="M19" i="5" s="1"/>
  <c r="M20" i="5" s="1"/>
  <c r="M21" i="5" s="1"/>
  <c r="M22" i="5" s="1"/>
  <c r="M23" i="5" s="1"/>
  <c r="M24" i="5" s="1"/>
  <c r="M25" i="5" s="1"/>
  <c r="M26" i="5" s="1"/>
  <c r="M27" i="5" s="1"/>
  <c r="M28" i="5" s="1"/>
  <c r="M29" i="5" s="1"/>
  <c r="C5" i="4"/>
  <c r="B5" i="4"/>
  <c r="A6" i="4"/>
  <c r="B6" i="4" s="1"/>
  <c r="A3" i="7"/>
  <c r="A4" i="7" s="1"/>
  <c r="A5" i="7" s="1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3" i="12"/>
  <c r="A4" i="12" s="1"/>
  <c r="A5" i="12" s="1"/>
  <c r="A6" i="12" s="1"/>
  <c r="A7" i="12" s="1"/>
  <c r="A8" i="12" s="1"/>
  <c r="A9" i="12" s="1"/>
  <c r="A10" i="12" s="1"/>
  <c r="A11" i="12" s="1"/>
  <c r="A12" i="12" s="1"/>
  <c r="A13" i="12" s="1"/>
  <c r="A14" i="12" s="1"/>
  <c r="A15" i="12" s="1"/>
  <c r="A16" i="12" s="1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A30" i="12" s="1"/>
  <c r="A31" i="12" s="1"/>
  <c r="A32" i="12" s="1"/>
  <c r="A33" i="12" s="1"/>
  <c r="A34" i="12" s="1"/>
  <c r="A35" i="12" s="1"/>
  <c r="A36" i="12" s="1"/>
  <c r="A37" i="12" s="1"/>
  <c r="A38" i="12" s="1"/>
  <c r="A39" i="12" s="1"/>
  <c r="A40" i="12" s="1"/>
  <c r="A41" i="12" s="1"/>
  <c r="A42" i="12" s="1"/>
  <c r="A3" i="11"/>
  <c r="A4" i="11" s="1"/>
  <c r="A5" i="11" s="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3" i="10"/>
  <c r="A4" i="10" s="1"/>
  <c r="A5" i="10" s="1"/>
  <c r="A6" i="10" s="1"/>
  <c r="A7" i="10" s="1"/>
  <c r="A8" i="10" s="1"/>
  <c r="A9" i="10" s="1"/>
  <c r="A10" i="10" s="1"/>
  <c r="A11" i="10" s="1"/>
  <c r="A12" i="10" s="1"/>
  <c r="A13" i="10" s="1"/>
  <c r="A14" i="10" s="1"/>
  <c r="A3" i="9"/>
  <c r="A4" i="9" s="1"/>
  <c r="A5" i="9" s="1"/>
  <c r="A6" i="9" s="1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D6" i="4" l="1"/>
  <c r="E6" i="4"/>
  <c r="A7" i="4"/>
  <c r="I6" i="4"/>
  <c r="C6" i="4"/>
  <c r="M30" i="5"/>
  <c r="M31" i="5" s="1"/>
  <c r="M32" i="5" s="1"/>
  <c r="M33" i="5" s="1"/>
  <c r="M34" i="5" s="1"/>
  <c r="M35" i="5" s="1"/>
  <c r="M36" i="5" s="1"/>
  <c r="M37" i="5" s="1"/>
  <c r="M38" i="5" s="1"/>
  <c r="M39" i="5" s="1"/>
  <c r="M40" i="5" s="1"/>
  <c r="M41" i="5" s="1"/>
  <c r="M42" i="5" s="1"/>
  <c r="M43" i="5" s="1"/>
  <c r="M44" i="5" s="1"/>
  <c r="M45" i="5" s="1"/>
  <c r="M46" i="5" s="1"/>
  <c r="M47" i="5" s="1"/>
  <c r="M48" i="5" s="1"/>
  <c r="M49" i="5" s="1"/>
  <c r="A15" i="10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D7" i="4" l="1"/>
  <c r="E7" i="4"/>
  <c r="A8" i="4"/>
  <c r="I7" i="4"/>
  <c r="C7" i="4"/>
  <c r="B7" i="4"/>
  <c r="C25" i="3"/>
  <c r="C22" i="3"/>
  <c r="D8" i="4" l="1"/>
  <c r="E8" i="4"/>
  <c r="A9" i="4"/>
  <c r="I8" i="4"/>
  <c r="B8" i="4"/>
  <c r="C8" i="4"/>
  <c r="C24" i="3"/>
  <c r="K5" i="4"/>
  <c r="L5" i="4" s="1"/>
  <c r="D9" i="4" l="1"/>
  <c r="E9" i="4"/>
  <c r="A10" i="4"/>
  <c r="I9" i="4"/>
  <c r="C9" i="4"/>
  <c r="B9" i="4"/>
  <c r="K6" i="4"/>
  <c r="L6" i="4" s="1"/>
  <c r="C23" i="3"/>
  <c r="D10" i="4" l="1"/>
  <c r="E10" i="4"/>
  <c r="A11" i="4"/>
  <c r="I10" i="4"/>
  <c r="C10" i="4"/>
  <c r="B10" i="4"/>
  <c r="K7" i="4"/>
  <c r="L7" i="4" s="1"/>
  <c r="K8" i="4"/>
  <c r="D11" i="4" l="1"/>
  <c r="E11" i="4"/>
  <c r="A12" i="4"/>
  <c r="I11" i="4"/>
  <c r="C11" i="4"/>
  <c r="B11" i="4"/>
  <c r="K9" i="4"/>
  <c r="L8" i="4"/>
  <c r="D12" i="4" l="1"/>
  <c r="E12" i="4"/>
  <c r="A13" i="4"/>
  <c r="I12" i="4"/>
  <c r="C12" i="4"/>
  <c r="B12" i="4"/>
  <c r="L9" i="4"/>
  <c r="K10" i="4"/>
  <c r="D13" i="4" l="1"/>
  <c r="E13" i="4"/>
  <c r="A14" i="4"/>
  <c r="I13" i="4"/>
  <c r="B13" i="4"/>
  <c r="C13" i="4"/>
  <c r="K11" i="4"/>
  <c r="L10" i="4"/>
  <c r="D14" i="4" l="1"/>
  <c r="E14" i="4"/>
  <c r="A15" i="4"/>
  <c r="I14" i="4"/>
  <c r="B14" i="4"/>
  <c r="C14" i="4"/>
  <c r="K12" i="4"/>
  <c r="L11" i="4"/>
  <c r="D15" i="4" l="1"/>
  <c r="E15" i="4"/>
  <c r="A16" i="4"/>
  <c r="I15" i="4"/>
  <c r="B15" i="4"/>
  <c r="C15" i="4"/>
  <c r="L12" i="4"/>
  <c r="K13" i="4"/>
  <c r="D16" i="4" l="1"/>
  <c r="E16" i="4"/>
  <c r="A17" i="4"/>
  <c r="I16" i="4"/>
  <c r="B16" i="4"/>
  <c r="C16" i="4"/>
  <c r="K14" i="4"/>
  <c r="L13" i="4"/>
  <c r="E17" i="4" l="1"/>
  <c r="D17" i="4"/>
  <c r="A18" i="4"/>
  <c r="E18" i="4" s="1"/>
  <c r="I17" i="4"/>
  <c r="K17" i="4" s="1"/>
  <c r="C17" i="4"/>
  <c r="B17" i="4"/>
  <c r="K15" i="4"/>
  <c r="L14" i="4"/>
  <c r="A19" i="4" l="1"/>
  <c r="E19" i="4" s="1"/>
  <c r="I18" i="4"/>
  <c r="K18" i="4" s="1"/>
  <c r="D18" i="4"/>
  <c r="C18" i="4"/>
  <c r="B18" i="4"/>
  <c r="K16" i="4"/>
  <c r="L15" i="4"/>
  <c r="A20" i="4" l="1"/>
  <c r="E20" i="4" s="1"/>
  <c r="I19" i="4"/>
  <c r="C19" i="4"/>
  <c r="B19" i="4"/>
  <c r="D19" i="4"/>
  <c r="L16" i="4"/>
  <c r="A21" i="4" l="1"/>
  <c r="E21" i="4" s="1"/>
  <c r="I20" i="4"/>
  <c r="C20" i="4"/>
  <c r="B20" i="4"/>
  <c r="D20" i="4"/>
  <c r="L17" i="4"/>
  <c r="A22" i="4" l="1"/>
  <c r="E22" i="4" s="1"/>
  <c r="I21" i="4"/>
  <c r="K21" i="4" s="1"/>
  <c r="D21" i="4"/>
  <c r="B21" i="4"/>
  <c r="C21" i="4"/>
  <c r="K19" i="4"/>
  <c r="L18" i="4"/>
  <c r="L21" i="4" l="1"/>
  <c r="A23" i="4"/>
  <c r="E23" i="4" s="1"/>
  <c r="I22" i="4"/>
  <c r="K22" i="4" s="1"/>
  <c r="D22" i="4"/>
  <c r="C22" i="4"/>
  <c r="B22" i="4"/>
  <c r="K20" i="4"/>
  <c r="L19" i="4"/>
  <c r="L22" i="4" l="1"/>
  <c r="A24" i="4"/>
  <c r="E24" i="4" s="1"/>
  <c r="I23" i="4"/>
  <c r="K23" i="4" s="1"/>
  <c r="D23" i="4"/>
  <c r="C23" i="4"/>
  <c r="B23" i="4"/>
  <c r="L20" i="4"/>
  <c r="L23" i="4" l="1"/>
  <c r="A25" i="4"/>
  <c r="E25" i="4" s="1"/>
  <c r="I24" i="4"/>
  <c r="K24" i="4" s="1"/>
  <c r="B24" i="4"/>
  <c r="D24" i="4"/>
  <c r="C24" i="4"/>
  <c r="L24" i="4" l="1"/>
  <c r="A26" i="4"/>
  <c r="E26" i="4" s="1"/>
  <c r="I25" i="4"/>
  <c r="K25" i="4" s="1"/>
  <c r="H20" i="5"/>
  <c r="H21" i="5"/>
  <c r="C25" i="4"/>
  <c r="B25" i="4"/>
  <c r="D25" i="4"/>
  <c r="I25" i="5" l="1"/>
  <c r="K25" i="5" s="1"/>
  <c r="H27" i="5" s="1"/>
  <c r="I24" i="5"/>
  <c r="K24" i="5" s="1"/>
  <c r="D12" i="5" s="1"/>
  <c r="R2" i="4" s="1"/>
  <c r="L25" i="4"/>
  <c r="A27" i="4"/>
  <c r="E27" i="4" s="1"/>
  <c r="I26" i="4"/>
  <c r="K26" i="4" s="1"/>
  <c r="C26" i="4"/>
  <c r="B26" i="4"/>
  <c r="D26" i="4"/>
  <c r="L26" i="4" l="1"/>
  <c r="A28" i="4"/>
  <c r="E28" i="4" s="1"/>
  <c r="I27" i="4"/>
  <c r="K27" i="4" s="1"/>
  <c r="C27" i="4"/>
  <c r="B27" i="4"/>
  <c r="D27" i="4"/>
  <c r="H30" i="5"/>
  <c r="H29" i="5"/>
  <c r="H34" i="5" s="1"/>
  <c r="D6" i="5" s="1"/>
  <c r="D26" i="5" s="1"/>
  <c r="D27" i="5" s="1"/>
  <c r="D28" i="5" s="1"/>
  <c r="L27" i="4" l="1"/>
  <c r="B18" i="3"/>
  <c r="A29" i="4"/>
  <c r="E29" i="4" s="1"/>
  <c r="I28" i="4"/>
  <c r="K28" i="4" s="1"/>
  <c r="C28" i="4"/>
  <c r="D28" i="4"/>
  <c r="B28" i="4"/>
  <c r="L28" i="4" l="1"/>
  <c r="A30" i="4"/>
  <c r="E30" i="4" s="1"/>
  <c r="I29" i="4"/>
  <c r="K29" i="4" s="1"/>
  <c r="B29" i="4"/>
  <c r="C29" i="4"/>
  <c r="D29" i="4"/>
  <c r="B20" i="3"/>
  <c r="C27" i="3" s="1"/>
  <c r="L29" i="4" l="1"/>
  <c r="A31" i="4"/>
  <c r="E31" i="4" s="1"/>
  <c r="I30" i="4"/>
  <c r="K30" i="4" s="1"/>
  <c r="D30" i="4"/>
  <c r="B30" i="4"/>
  <c r="C30" i="4"/>
  <c r="T2" i="4"/>
  <c r="N30" i="4" s="1"/>
  <c r="R30" i="4" l="1"/>
  <c r="O30" i="4"/>
  <c r="L30" i="4"/>
  <c r="A32" i="4"/>
  <c r="E32" i="4" s="1"/>
  <c r="I31" i="4"/>
  <c r="K31" i="4" s="1"/>
  <c r="D31" i="4"/>
  <c r="N31" i="4"/>
  <c r="C31" i="4"/>
  <c r="B31" i="4"/>
  <c r="N22" i="4"/>
  <c r="T22" i="4" s="1"/>
  <c r="N10" i="4"/>
  <c r="N18" i="4"/>
  <c r="N7" i="4"/>
  <c r="N21" i="4"/>
  <c r="N16" i="4"/>
  <c r="N9" i="4"/>
  <c r="N23" i="4"/>
  <c r="N11" i="4"/>
  <c r="T11" i="4" s="1"/>
  <c r="N19" i="4"/>
  <c r="N25" i="4"/>
  <c r="T25" i="4" s="1"/>
  <c r="N20" i="4"/>
  <c r="N12" i="4"/>
  <c r="N6" i="4"/>
  <c r="N13" i="4"/>
  <c r="N5" i="4"/>
  <c r="N14" i="4"/>
  <c r="N15" i="4"/>
  <c r="N8" i="4"/>
  <c r="N24" i="4"/>
  <c r="T24" i="4" s="1"/>
  <c r="N17" i="4"/>
  <c r="N26" i="4"/>
  <c r="T30" i="4"/>
  <c r="N27" i="4"/>
  <c r="T27" i="4" s="1"/>
  <c r="N28" i="4"/>
  <c r="T28" i="4" s="1"/>
  <c r="N29" i="4"/>
  <c r="L31" i="4" l="1"/>
  <c r="U22" i="4"/>
  <c r="X30" i="4"/>
  <c r="U30" i="4"/>
  <c r="T13" i="4"/>
  <c r="O13" i="4"/>
  <c r="N17" i="5" s="1"/>
  <c r="O17" i="5" s="1"/>
  <c r="Q13" i="4" s="1"/>
  <c r="R13" i="4"/>
  <c r="R26" i="4"/>
  <c r="O26" i="4"/>
  <c r="T6" i="4"/>
  <c r="R6" i="4"/>
  <c r="O6" i="4"/>
  <c r="N10" i="5" s="1"/>
  <c r="O10" i="5" s="1"/>
  <c r="Q6" i="4" s="1"/>
  <c r="T31" i="4"/>
  <c r="R31" i="4"/>
  <c r="O31" i="4"/>
  <c r="U25" i="4"/>
  <c r="T17" i="4"/>
  <c r="R17" i="4"/>
  <c r="O17" i="4"/>
  <c r="N21" i="5" s="1"/>
  <c r="O21" i="5" s="1"/>
  <c r="Q17" i="4" s="1"/>
  <c r="T21" i="4"/>
  <c r="R21" i="4"/>
  <c r="O21" i="4"/>
  <c r="N25" i="5" s="1"/>
  <c r="O25" i="5" s="1"/>
  <c r="Q21" i="4" s="1"/>
  <c r="W30" i="4"/>
  <c r="U28" i="4"/>
  <c r="O24" i="4"/>
  <c r="N28" i="5" s="1"/>
  <c r="O28" i="5" s="1"/>
  <c r="Q24" i="4" s="1"/>
  <c r="R24" i="4"/>
  <c r="W24" i="4" s="1"/>
  <c r="T20" i="4"/>
  <c r="R20" i="4"/>
  <c r="O20" i="4"/>
  <c r="N24" i="5" s="1"/>
  <c r="O24" i="5" s="1"/>
  <c r="Q20" i="4" s="1"/>
  <c r="O7" i="4"/>
  <c r="N11" i="5" s="1"/>
  <c r="O11" i="5" s="1"/>
  <c r="Q7" i="4" s="1"/>
  <c r="R7" i="4"/>
  <c r="O29" i="4"/>
  <c r="R29" i="4"/>
  <c r="T8" i="4"/>
  <c r="O8" i="4"/>
  <c r="N12" i="5" s="1"/>
  <c r="O12" i="5" s="1"/>
  <c r="Q8" i="4" s="1"/>
  <c r="R8" i="4"/>
  <c r="O25" i="4"/>
  <c r="N29" i="5" s="1"/>
  <c r="O29" i="5" s="1"/>
  <c r="Q25" i="4" s="1"/>
  <c r="R25" i="4"/>
  <c r="W25" i="4" s="1"/>
  <c r="T18" i="4"/>
  <c r="R18" i="4"/>
  <c r="O18" i="4"/>
  <c r="N22" i="5" s="1"/>
  <c r="O22" i="5" s="1"/>
  <c r="Q18" i="4" s="1"/>
  <c r="A33" i="4"/>
  <c r="E33" i="4" s="1"/>
  <c r="I32" i="4"/>
  <c r="K32" i="4" s="1"/>
  <c r="B32" i="4"/>
  <c r="D32" i="4"/>
  <c r="N32" i="4"/>
  <c r="C32" i="4"/>
  <c r="O28" i="4"/>
  <c r="R28" i="4"/>
  <c r="W28" i="4" s="1"/>
  <c r="U11" i="4"/>
  <c r="T15" i="4"/>
  <c r="O15" i="4"/>
  <c r="N19" i="5" s="1"/>
  <c r="O19" i="5" s="1"/>
  <c r="Q15" i="4" s="1"/>
  <c r="R15" i="4"/>
  <c r="T19" i="4"/>
  <c r="R19" i="4"/>
  <c r="O19" i="4"/>
  <c r="N23" i="5" s="1"/>
  <c r="O23" i="5" s="1"/>
  <c r="Q19" i="4" s="1"/>
  <c r="T10" i="4"/>
  <c r="R10" i="4"/>
  <c r="O10" i="4"/>
  <c r="N14" i="5" s="1"/>
  <c r="O14" i="5" s="1"/>
  <c r="Q10" i="4" s="1"/>
  <c r="R27" i="4"/>
  <c r="W27" i="4" s="1"/>
  <c r="O27" i="4"/>
  <c r="T26" i="4"/>
  <c r="T7" i="4"/>
  <c r="T14" i="4"/>
  <c r="O14" i="4"/>
  <c r="N18" i="5" s="1"/>
  <c r="O18" i="5" s="1"/>
  <c r="Q14" i="4" s="1"/>
  <c r="R14" i="4"/>
  <c r="R11" i="4"/>
  <c r="W11" i="4" s="1"/>
  <c r="O11" i="4"/>
  <c r="N15" i="5" s="1"/>
  <c r="O15" i="5" s="1"/>
  <c r="Q11" i="4" s="1"/>
  <c r="O22" i="4"/>
  <c r="N26" i="5" s="1"/>
  <c r="O26" i="5" s="1"/>
  <c r="Q22" i="4" s="1"/>
  <c r="R22" i="4"/>
  <c r="W22" i="4" s="1"/>
  <c r="T9" i="4"/>
  <c r="R9" i="4"/>
  <c r="O9" i="4"/>
  <c r="N13" i="5" s="1"/>
  <c r="O13" i="5" s="1"/>
  <c r="Q9" i="4" s="1"/>
  <c r="U24" i="4"/>
  <c r="T16" i="4"/>
  <c r="R16" i="4"/>
  <c r="O16" i="4"/>
  <c r="N20" i="5" s="1"/>
  <c r="O20" i="5" s="1"/>
  <c r="Q16" i="4" s="1"/>
  <c r="T12" i="4"/>
  <c r="R12" i="4"/>
  <c r="O12" i="4"/>
  <c r="N16" i="5" s="1"/>
  <c r="O16" i="5" s="1"/>
  <c r="Q12" i="4" s="1"/>
  <c r="U27" i="4"/>
  <c r="T29" i="4"/>
  <c r="T5" i="4"/>
  <c r="O5" i="4"/>
  <c r="N9" i="5" s="1"/>
  <c r="O9" i="5" s="1"/>
  <c r="Q5" i="4" s="1"/>
  <c r="R5" i="4"/>
  <c r="T23" i="4"/>
  <c r="O23" i="4"/>
  <c r="N27" i="5" s="1"/>
  <c r="O27" i="5" s="1"/>
  <c r="Q23" i="4" s="1"/>
  <c r="R23" i="4"/>
  <c r="W9" i="4" l="1"/>
  <c r="W8" i="4"/>
  <c r="W31" i="4"/>
  <c r="W12" i="4"/>
  <c r="W23" i="4"/>
  <c r="W5" i="4"/>
  <c r="X24" i="4"/>
  <c r="AA24" i="4" s="1"/>
  <c r="Y30" i="4"/>
  <c r="W13" i="4"/>
  <c r="W15" i="4"/>
  <c r="W26" i="4"/>
  <c r="W16" i="4"/>
  <c r="W20" i="4"/>
  <c r="W21" i="4"/>
  <c r="W6" i="4"/>
  <c r="W17" i="4"/>
  <c r="W7" i="4"/>
  <c r="W14" i="4"/>
  <c r="AE22" i="4"/>
  <c r="Q26" i="5" s="1"/>
  <c r="AE7" i="4"/>
  <c r="Q11" i="5" s="1"/>
  <c r="X25" i="4"/>
  <c r="AA25" i="4" s="1"/>
  <c r="AE20" i="4"/>
  <c r="Q24" i="5" s="1"/>
  <c r="AE10" i="4"/>
  <c r="Q14" i="5" s="1"/>
  <c r="AE13" i="4"/>
  <c r="Q17" i="5" s="1"/>
  <c r="W10" i="4"/>
  <c r="L32" i="4"/>
  <c r="AE8" i="4"/>
  <c r="Q12" i="5" s="1"/>
  <c r="U20" i="4"/>
  <c r="X20" i="4"/>
  <c r="AA20" i="4" s="1"/>
  <c r="U21" i="4"/>
  <c r="X21" i="4"/>
  <c r="U31" i="4"/>
  <c r="X31" i="4"/>
  <c r="U13" i="4"/>
  <c r="X13" i="4"/>
  <c r="AA13" i="4" s="1"/>
  <c r="U5" i="4"/>
  <c r="X5" i="4"/>
  <c r="AA5" i="4" s="1"/>
  <c r="O32" i="4"/>
  <c r="R32" i="4"/>
  <c r="T32" i="4"/>
  <c r="U29" i="4"/>
  <c r="X29" i="4"/>
  <c r="U16" i="4"/>
  <c r="X16" i="4"/>
  <c r="AA16" i="4" s="1"/>
  <c r="AE25" i="4"/>
  <c r="Q29" i="5" s="1"/>
  <c r="X27" i="4"/>
  <c r="Y27" i="4" s="1"/>
  <c r="U15" i="4"/>
  <c r="X15" i="4"/>
  <c r="AA15" i="4" s="1"/>
  <c r="AE9" i="4"/>
  <c r="Q13" i="5" s="1"/>
  <c r="X11" i="4"/>
  <c r="AA11" i="4" s="1"/>
  <c r="AE17" i="4"/>
  <c r="Q21" i="5" s="1"/>
  <c r="AE6" i="4"/>
  <c r="Q10" i="5" s="1"/>
  <c r="AE11" i="4"/>
  <c r="Q15" i="5" s="1"/>
  <c r="AE15" i="4"/>
  <c r="Q19" i="5" s="1"/>
  <c r="AE21" i="4"/>
  <c r="Q25" i="5" s="1"/>
  <c r="AE23" i="4"/>
  <c r="Q27" i="5" s="1"/>
  <c r="AE12" i="4"/>
  <c r="Q16" i="5" s="1"/>
  <c r="AE14" i="4"/>
  <c r="Q18" i="5" s="1"/>
  <c r="U10" i="4"/>
  <c r="X10" i="4"/>
  <c r="AA10" i="4" s="1"/>
  <c r="A34" i="4"/>
  <c r="E34" i="4" s="1"/>
  <c r="I33" i="4"/>
  <c r="K33" i="4" s="1"/>
  <c r="C33" i="4"/>
  <c r="B33" i="4"/>
  <c r="D33" i="4"/>
  <c r="N33" i="4"/>
  <c r="U8" i="4"/>
  <c r="X8" i="4"/>
  <c r="U23" i="4"/>
  <c r="X23" i="4"/>
  <c r="U14" i="4"/>
  <c r="X14" i="4"/>
  <c r="AA14" i="4" s="1"/>
  <c r="AE19" i="4"/>
  <c r="Q23" i="5" s="1"/>
  <c r="AE18" i="4"/>
  <c r="Q22" i="5" s="1"/>
  <c r="W29" i="4"/>
  <c r="AE24" i="4"/>
  <c r="Q28" i="5" s="1"/>
  <c r="U12" i="4"/>
  <c r="X12" i="4"/>
  <c r="AA12" i="4" s="1"/>
  <c r="U9" i="4"/>
  <c r="X9" i="4"/>
  <c r="AA9" i="4" s="1"/>
  <c r="U7" i="4"/>
  <c r="X7" i="4"/>
  <c r="AA7" i="4" s="1"/>
  <c r="W19" i="4"/>
  <c r="W18" i="4"/>
  <c r="X28" i="4"/>
  <c r="Y28" i="4" s="1"/>
  <c r="U17" i="4"/>
  <c r="X17" i="4"/>
  <c r="AA17" i="4" s="1"/>
  <c r="U6" i="4"/>
  <c r="X6" i="4"/>
  <c r="AA6" i="4" s="1"/>
  <c r="AE5" i="4"/>
  <c r="Q9" i="5" s="1"/>
  <c r="AE16" i="4"/>
  <c r="Q20" i="5" s="1"/>
  <c r="X26" i="4"/>
  <c r="U26" i="4"/>
  <c r="U19" i="4"/>
  <c r="X19" i="4"/>
  <c r="AA19" i="4" s="1"/>
  <c r="U18" i="4"/>
  <c r="X18" i="4"/>
  <c r="AA18" i="4" s="1"/>
  <c r="X22" i="4"/>
  <c r="AA22" i="4" s="1"/>
  <c r="L33" i="4" l="1"/>
  <c r="Y31" i="4"/>
  <c r="AC23" i="4"/>
  <c r="P27" i="5" s="1"/>
  <c r="Y24" i="4"/>
  <c r="AC24" i="4"/>
  <c r="P28" i="5" s="1"/>
  <c r="AC16" i="4"/>
  <c r="P20" i="5" s="1"/>
  <c r="AC5" i="4"/>
  <c r="P9" i="5" s="1"/>
  <c r="Y14" i="4"/>
  <c r="Y25" i="4"/>
  <c r="Y7" i="4"/>
  <c r="Y16" i="4"/>
  <c r="Y17" i="4"/>
  <c r="AC6" i="4"/>
  <c r="P10" i="5" s="1"/>
  <c r="Y29" i="4"/>
  <c r="AC18" i="4"/>
  <c r="P22" i="5" s="1"/>
  <c r="AC17" i="4"/>
  <c r="P21" i="5" s="1"/>
  <c r="Y22" i="4"/>
  <c r="W32" i="4"/>
  <c r="AC25" i="4"/>
  <c r="P29" i="5" s="1"/>
  <c r="Y20" i="4"/>
  <c r="Y6" i="4"/>
  <c r="Y13" i="4"/>
  <c r="AC13" i="4"/>
  <c r="P17" i="5" s="1"/>
  <c r="Y10" i="4"/>
  <c r="Y5" i="4"/>
  <c r="Y12" i="4"/>
  <c r="Y11" i="4"/>
  <c r="Y9" i="4"/>
  <c r="AC12" i="4"/>
  <c r="P16" i="5" s="1"/>
  <c r="AC11" i="4"/>
  <c r="P15" i="5" s="1"/>
  <c r="Y26" i="4"/>
  <c r="AC20" i="4"/>
  <c r="P24" i="5" s="1"/>
  <c r="X32" i="4"/>
  <c r="U32" i="4"/>
  <c r="Y18" i="4"/>
  <c r="A35" i="4"/>
  <c r="E35" i="4" s="1"/>
  <c r="I34" i="4"/>
  <c r="K34" i="4" s="1"/>
  <c r="C34" i="4"/>
  <c r="B34" i="4"/>
  <c r="N34" i="4"/>
  <c r="D34" i="4"/>
  <c r="Y15" i="4"/>
  <c r="AC9" i="4"/>
  <c r="P13" i="5" s="1"/>
  <c r="Y23" i="4"/>
  <c r="AA23" i="4"/>
  <c r="Y21" i="4"/>
  <c r="AA21" i="4"/>
  <c r="Y19" i="4"/>
  <c r="AC19" i="4"/>
  <c r="P23" i="5" s="1"/>
  <c r="Y8" i="4"/>
  <c r="AA8" i="4"/>
  <c r="AC21" i="4"/>
  <c r="P25" i="5" s="1"/>
  <c r="AC7" i="4"/>
  <c r="P11" i="5" s="1"/>
  <c r="T33" i="4"/>
  <c r="R33" i="4"/>
  <c r="O33" i="4"/>
  <c r="AC14" i="4"/>
  <c r="P18" i="5" s="1"/>
  <c r="AC15" i="4"/>
  <c r="P19" i="5" s="1"/>
  <c r="AC8" i="4"/>
  <c r="P12" i="5" s="1"/>
  <c r="AC10" i="4"/>
  <c r="P14" i="5" s="1"/>
  <c r="AC22" i="4"/>
  <c r="P26" i="5" s="1"/>
  <c r="W33" i="4" l="1"/>
  <c r="U33" i="4"/>
  <c r="X33" i="4"/>
  <c r="A36" i="4"/>
  <c r="E36" i="4" s="1"/>
  <c r="I35" i="4"/>
  <c r="K35" i="4" s="1"/>
  <c r="C35" i="4"/>
  <c r="B35" i="4"/>
  <c r="D35" i="4"/>
  <c r="N35" i="4"/>
  <c r="N34" i="5"/>
  <c r="O34" i="5" s="1"/>
  <c r="Q30" i="4" s="1"/>
  <c r="N35" i="5"/>
  <c r="O35" i="5" s="1"/>
  <c r="Q31" i="4" s="1"/>
  <c r="N36" i="5"/>
  <c r="O36" i="5" s="1"/>
  <c r="Q32" i="4" s="1"/>
  <c r="N31" i="5"/>
  <c r="O31" i="5" s="1"/>
  <c r="Q27" i="4" s="1"/>
  <c r="N32" i="5"/>
  <c r="O32" i="5" s="1"/>
  <c r="Q28" i="4" s="1"/>
  <c r="N37" i="5"/>
  <c r="O37" i="5" s="1"/>
  <c r="Q33" i="4" s="1"/>
  <c r="N30" i="5"/>
  <c r="O30" i="5" s="1"/>
  <c r="Q26" i="4" s="1"/>
  <c r="N33" i="5"/>
  <c r="O33" i="5" s="1"/>
  <c r="Q29" i="4" s="1"/>
  <c r="Y32" i="4"/>
  <c r="L34" i="4"/>
  <c r="O34" i="4"/>
  <c r="N38" i="5" s="1"/>
  <c r="O38" i="5" s="1"/>
  <c r="Q34" i="4" s="1"/>
  <c r="R34" i="4"/>
  <c r="T34" i="4"/>
  <c r="L35" i="4" l="1"/>
  <c r="W34" i="4"/>
  <c r="AA33" i="4"/>
  <c r="AE34" i="4"/>
  <c r="Q38" i="5" s="1"/>
  <c r="AC28" i="4"/>
  <c r="P32" i="5" s="1"/>
  <c r="AE28" i="4"/>
  <c r="Q32" i="5" s="1"/>
  <c r="AA28" i="4"/>
  <c r="AC29" i="4"/>
  <c r="P33" i="5" s="1"/>
  <c r="AE29" i="4"/>
  <c r="Q33" i="5" s="1"/>
  <c r="AA29" i="4"/>
  <c r="AE33" i="4"/>
  <c r="Q37" i="5" s="1"/>
  <c r="AC33" i="4"/>
  <c r="P37" i="5" s="1"/>
  <c r="AE31" i="4"/>
  <c r="Q35" i="5" s="1"/>
  <c r="AA31" i="4"/>
  <c r="AC31" i="4"/>
  <c r="P35" i="5" s="1"/>
  <c r="AA30" i="4"/>
  <c r="AC30" i="4"/>
  <c r="P34" i="5" s="1"/>
  <c r="AE30" i="4"/>
  <c r="Q34" i="5" s="1"/>
  <c r="T35" i="4"/>
  <c r="R35" i="4"/>
  <c r="O35" i="4"/>
  <c r="N39" i="5" s="1"/>
  <c r="O39" i="5" s="1"/>
  <c r="Q35" i="4" s="1"/>
  <c r="AE27" i="4"/>
  <c r="Q31" i="5" s="1"/>
  <c r="AC27" i="4"/>
  <c r="P31" i="5" s="1"/>
  <c r="AA27" i="4"/>
  <c r="X34" i="4"/>
  <c r="AA34" i="4" s="1"/>
  <c r="U34" i="4"/>
  <c r="AC32" i="4"/>
  <c r="P36" i="5" s="1"/>
  <c r="AE32" i="4"/>
  <c r="Q36" i="5" s="1"/>
  <c r="A37" i="4"/>
  <c r="E37" i="4" s="1"/>
  <c r="I36" i="4"/>
  <c r="K36" i="4" s="1"/>
  <c r="C36" i="4"/>
  <c r="B36" i="4"/>
  <c r="N36" i="4"/>
  <c r="D36" i="4"/>
  <c r="Y33" i="4"/>
  <c r="AC26" i="4"/>
  <c r="P30" i="5" s="1"/>
  <c r="AE26" i="4"/>
  <c r="Q30" i="5" s="1"/>
  <c r="AA26" i="4"/>
  <c r="AA32" i="4"/>
  <c r="W35" i="4" l="1"/>
  <c r="L36" i="4"/>
  <c r="AE35" i="4"/>
  <c r="Q39" i="5" s="1"/>
  <c r="Y34" i="4"/>
  <c r="R36" i="4"/>
  <c r="O36" i="4"/>
  <c r="T36" i="4"/>
  <c r="A38" i="4"/>
  <c r="E38" i="4" s="1"/>
  <c r="I37" i="4"/>
  <c r="K37" i="4" s="1"/>
  <c r="N37" i="4"/>
  <c r="C37" i="4"/>
  <c r="B37" i="4"/>
  <c r="D37" i="4"/>
  <c r="E37" i="5"/>
  <c r="U35" i="4"/>
  <c r="X35" i="4"/>
  <c r="AA35" i="4" s="1"/>
  <c r="AC34" i="4"/>
  <c r="P38" i="5" s="1"/>
  <c r="U36" i="4" l="1"/>
  <c r="X36" i="4"/>
  <c r="O37" i="4"/>
  <c r="R37" i="4"/>
  <c r="T37" i="4"/>
  <c r="W36" i="4"/>
  <c r="L37" i="4"/>
  <c r="E42" i="5"/>
  <c r="E40" i="5"/>
  <c r="E46" i="5"/>
  <c r="E39" i="5"/>
  <c r="E41" i="5"/>
  <c r="E45" i="5"/>
  <c r="E38" i="5"/>
  <c r="E43" i="5"/>
  <c r="E44" i="5"/>
  <c r="D37" i="5"/>
  <c r="D39" i="5"/>
  <c r="D45" i="5"/>
  <c r="D46" i="5"/>
  <c r="D43" i="5"/>
  <c r="D40" i="5"/>
  <c r="D44" i="5"/>
  <c r="D41" i="5"/>
  <c r="D38" i="5"/>
  <c r="D42" i="5"/>
  <c r="Y35" i="4"/>
  <c r="A39" i="4"/>
  <c r="E39" i="4" s="1"/>
  <c r="I38" i="4"/>
  <c r="K38" i="4" s="1"/>
  <c r="D38" i="4"/>
  <c r="N38" i="4"/>
  <c r="C38" i="4"/>
  <c r="B38" i="4"/>
  <c r="AC35" i="4"/>
  <c r="P39" i="5" s="1"/>
  <c r="Y36" i="4" l="1"/>
  <c r="W37" i="4"/>
  <c r="X37" i="4"/>
  <c r="U37" i="4"/>
  <c r="T38" i="4"/>
  <c r="O38" i="4"/>
  <c r="R38" i="4"/>
  <c r="A40" i="4"/>
  <c r="E40" i="4" s="1"/>
  <c r="I39" i="4"/>
  <c r="K39" i="4" s="1"/>
  <c r="D39" i="4"/>
  <c r="N39" i="4"/>
  <c r="C39" i="4"/>
  <c r="B39" i="4"/>
  <c r="L38" i="4"/>
  <c r="L39" i="4" l="1"/>
  <c r="Y37" i="4"/>
  <c r="W38" i="4"/>
  <c r="A41" i="4"/>
  <c r="E41" i="4" s="1"/>
  <c r="I40" i="4"/>
  <c r="K40" i="4" s="1"/>
  <c r="B40" i="4"/>
  <c r="D40" i="4"/>
  <c r="N40" i="4"/>
  <c r="C40" i="4"/>
  <c r="N41" i="5"/>
  <c r="O41" i="5" s="1"/>
  <c r="Q37" i="4" s="1"/>
  <c r="AA37" i="4" s="1"/>
  <c r="N40" i="5"/>
  <c r="O40" i="5" s="1"/>
  <c r="Q36" i="4" s="1"/>
  <c r="N42" i="5"/>
  <c r="O42" i="5" s="1"/>
  <c r="Q38" i="4" s="1"/>
  <c r="O39" i="4"/>
  <c r="N43" i="5" s="1"/>
  <c r="O43" i="5" s="1"/>
  <c r="Q39" i="4" s="1"/>
  <c r="R39" i="4"/>
  <c r="T39" i="4"/>
  <c r="U38" i="4"/>
  <c r="X38" i="4"/>
  <c r="Y38" i="4" l="1"/>
  <c r="W39" i="4"/>
  <c r="AA38" i="4"/>
  <c r="AE39" i="4"/>
  <c r="Q43" i="5" s="1"/>
  <c r="AE36" i="4"/>
  <c r="Q40" i="5" s="1"/>
  <c r="AC36" i="4"/>
  <c r="P40" i="5" s="1"/>
  <c r="AA36" i="4"/>
  <c r="AE38" i="4"/>
  <c r="Q42" i="5" s="1"/>
  <c r="AC38" i="4"/>
  <c r="P42" i="5" s="1"/>
  <c r="L40" i="4"/>
  <c r="O40" i="4"/>
  <c r="N44" i="5" s="1"/>
  <c r="O44" i="5" s="1"/>
  <c r="Q40" i="4" s="1"/>
  <c r="R40" i="4"/>
  <c r="T40" i="4"/>
  <c r="U39" i="4"/>
  <c r="X39" i="4"/>
  <c r="AA39" i="4" s="1"/>
  <c r="AE37" i="4"/>
  <c r="Q41" i="5" s="1"/>
  <c r="AC37" i="4"/>
  <c r="P41" i="5" s="1"/>
  <c r="A42" i="4"/>
  <c r="E42" i="4" s="1"/>
  <c r="I41" i="4"/>
  <c r="K41" i="4" s="1"/>
  <c r="C41" i="4"/>
  <c r="B41" i="4"/>
  <c r="D41" i="4"/>
  <c r="N41" i="4"/>
  <c r="W40" i="4" l="1"/>
  <c r="T41" i="4"/>
  <c r="R41" i="4"/>
  <c r="O41" i="4"/>
  <c r="U40" i="4"/>
  <c r="X40" i="4"/>
  <c r="AA40" i="4" s="1"/>
  <c r="L41" i="4"/>
  <c r="AE40" i="4"/>
  <c r="Q44" i="5" s="1"/>
  <c r="Y39" i="4"/>
  <c r="A43" i="4"/>
  <c r="E43" i="4" s="1"/>
  <c r="I42" i="4"/>
  <c r="K42" i="4" s="1"/>
  <c r="C42" i="4"/>
  <c r="B42" i="4"/>
  <c r="N42" i="4"/>
  <c r="D42" i="4"/>
  <c r="AC39" i="4"/>
  <c r="P43" i="5" s="1"/>
  <c r="L42" i="4" l="1"/>
  <c r="Y40" i="4"/>
  <c r="AC40" i="4"/>
  <c r="P44" i="5" s="1"/>
  <c r="W41" i="4"/>
  <c r="A44" i="4"/>
  <c r="I43" i="4"/>
  <c r="K43" i="4" s="1"/>
  <c r="C43" i="4"/>
  <c r="B43" i="4"/>
  <c r="D43" i="4"/>
  <c r="N43" i="4"/>
  <c r="N45" i="5"/>
  <c r="O45" i="5" s="1"/>
  <c r="Q41" i="4" s="1"/>
  <c r="T42" i="4"/>
  <c r="R42" i="4"/>
  <c r="O42" i="4"/>
  <c r="N46" i="5" s="1"/>
  <c r="O46" i="5" s="1"/>
  <c r="Q42" i="4" s="1"/>
  <c r="U41" i="4"/>
  <c r="X41" i="4"/>
  <c r="L43" i="4" l="1"/>
  <c r="E44" i="4"/>
  <c r="N44" i="4" s="1"/>
  <c r="Y41" i="4"/>
  <c r="W42" i="4"/>
  <c r="AE42" i="4"/>
  <c r="Q46" i="5" s="1"/>
  <c r="AE41" i="4"/>
  <c r="Q45" i="5" s="1"/>
  <c r="AC41" i="4"/>
  <c r="P45" i="5" s="1"/>
  <c r="T43" i="4"/>
  <c r="O43" i="4"/>
  <c r="N47" i="5" s="1"/>
  <c r="O47" i="5" s="1"/>
  <c r="Q43" i="4" s="1"/>
  <c r="R43" i="4"/>
  <c r="A45" i="4"/>
  <c r="E45" i="4" s="1"/>
  <c r="I44" i="4"/>
  <c r="K44" i="4" s="1"/>
  <c r="C44" i="4"/>
  <c r="D44" i="4"/>
  <c r="B44" i="4"/>
  <c r="U42" i="4"/>
  <c r="X42" i="4"/>
  <c r="AA42" i="4" s="1"/>
  <c r="AA41" i="4"/>
  <c r="W43" i="4" l="1"/>
  <c r="AE43" i="4"/>
  <c r="Q47" i="5" s="1"/>
  <c r="O44" i="4"/>
  <c r="N48" i="5" s="1"/>
  <c r="O48" i="5" s="1"/>
  <c r="Q44" i="4" s="1"/>
  <c r="R44" i="4"/>
  <c r="T44" i="4"/>
  <c r="U43" i="4"/>
  <c r="X43" i="4"/>
  <c r="L44" i="4"/>
  <c r="I45" i="4"/>
  <c r="K45" i="4" s="1"/>
  <c r="N45" i="4"/>
  <c r="B45" i="4"/>
  <c r="C45" i="4"/>
  <c r="D45" i="4"/>
  <c r="Y42" i="4"/>
  <c r="AC42" i="4"/>
  <c r="P46" i="5" s="1"/>
  <c r="W44" i="4" l="1"/>
  <c r="Y43" i="4"/>
  <c r="AA43" i="4"/>
  <c r="U44" i="4"/>
  <c r="X44" i="4"/>
  <c r="AA44" i="4" s="1"/>
  <c r="AE44" i="4"/>
  <c r="Q48" i="5" s="1"/>
  <c r="R45" i="4"/>
  <c r="O45" i="4"/>
  <c r="N49" i="5" s="1"/>
  <c r="O49" i="5" s="1"/>
  <c r="Q45" i="4" s="1"/>
  <c r="T45" i="4"/>
  <c r="L45" i="4"/>
  <c r="AC43" i="4"/>
  <c r="P47" i="5" s="1"/>
  <c r="W45" i="4" l="1"/>
  <c r="AC44" i="4"/>
  <c r="P48" i="5" s="1"/>
  <c r="Y44" i="4"/>
  <c r="U45" i="4"/>
  <c r="X45" i="4"/>
  <c r="AA45" i="4" s="1"/>
  <c r="AE45" i="4"/>
  <c r="Q49" i="5" s="1"/>
  <c r="AC45" i="4" l="1"/>
  <c r="P49" i="5" s="1"/>
  <c r="Y45" i="4"/>
</calcChain>
</file>

<file path=xl/sharedStrings.xml><?xml version="1.0" encoding="utf-8"?>
<sst xmlns="http://schemas.openxmlformats.org/spreadsheetml/2006/main" count="196" uniqueCount="159">
  <si>
    <t>T</t>
  </si>
  <si>
    <t>e/sec</t>
  </si>
  <si>
    <t>photons/sec/nm/arcsec^2/m^2</t>
  </si>
  <si>
    <t>for a 50%-tile 'dark sky' (20.7 in V-band):</t>
  </si>
  <si>
    <t xml:space="preserve"> wavelength (nm)</t>
  </si>
  <si>
    <t>skyflux (photons/sec/nm/arcsec^2/m^2)</t>
  </si>
  <si>
    <t>wavelength spread</t>
  </si>
  <si>
    <t>nm</t>
  </si>
  <si>
    <t>arc-sec/pixel</t>
  </si>
  <si>
    <t>scope aperture</t>
  </si>
  <si>
    <t>m</t>
  </si>
  <si>
    <t>optical and electronic efficiency</t>
  </si>
  <si>
    <t>re-calcualted skyflux for your sky</t>
  </si>
  <si>
    <t>Enter the skyflux from the table above, based on filter selection (use 550nm for broadband)</t>
  </si>
  <si>
    <t>656 (Ha)</t>
  </si>
  <si>
    <t>500 (OIII)</t>
  </si>
  <si>
    <t>© 2018 S. Bellavia</t>
  </si>
  <si>
    <t>Enter your sky background in Mag/sq-arcsec</t>
  </si>
  <si>
    <t>e/sec per pixel</t>
  </si>
  <si>
    <t>sampling</t>
  </si>
  <si>
    <t>Sky Flux</t>
  </si>
  <si>
    <t>Dark Noise       (e-/sec)</t>
  </si>
  <si>
    <t>Sky fog       (e-/sec)</t>
  </si>
  <si>
    <t>Obj Signal       (e-/sec)</t>
  </si>
  <si>
    <t>Camera Specification/Controls</t>
  </si>
  <si>
    <t>ZWO Gain</t>
  </si>
  <si>
    <t>GADU (e/ADU)</t>
  </si>
  <si>
    <t>FWC</t>
  </si>
  <si>
    <t>DR</t>
  </si>
  <si>
    <t>Read noise</t>
  </si>
  <si>
    <t>ZWO Bias</t>
  </si>
  <si>
    <t>Bias        (e-'s)</t>
  </si>
  <si>
    <t>exposure        (sec)</t>
  </si>
  <si>
    <t>exposure   (min)</t>
  </si>
  <si>
    <t># subs</t>
  </si>
  <si>
    <t>Single Sub Dark noise</t>
  </si>
  <si>
    <t>Single Sub Sky Background</t>
  </si>
  <si>
    <t>Single sub Swamp factor</t>
  </si>
  <si>
    <r>
      <t>FWC</t>
    </r>
    <r>
      <rPr>
        <vertAlign val="subscript"/>
        <sz val="11"/>
        <color theme="1"/>
        <rFont val="Calibri"/>
        <family val="2"/>
        <scheme val="minor"/>
      </rPr>
      <t>eff</t>
    </r>
  </si>
  <si>
    <t>Ntotal</t>
  </si>
  <si>
    <t>Bits</t>
  </si>
  <si>
    <r>
      <t>Ntotal</t>
    </r>
    <r>
      <rPr>
        <vertAlign val="subscript"/>
        <sz val="11"/>
        <color theme="1"/>
        <rFont val="Calibri"/>
        <family val="2"/>
        <scheme val="minor"/>
      </rPr>
      <t>int</t>
    </r>
  </si>
  <si>
    <t>Int Bits</t>
  </si>
  <si>
    <t>Int SNR</t>
  </si>
  <si>
    <t>Equations</t>
  </si>
  <si>
    <t>Gain =10*20Log((e/ADU at gain 0)/GADU)</t>
  </si>
  <si>
    <r>
      <t>Swamp Factor = Sky Background/RN</t>
    </r>
    <r>
      <rPr>
        <vertAlign val="superscript"/>
        <sz val="11"/>
        <color theme="1"/>
        <rFont val="Calibri"/>
        <family val="2"/>
        <scheme val="minor"/>
      </rPr>
      <t>2</t>
    </r>
  </si>
  <si>
    <t>FWCeff = FWC - (Bias+Dark+Sky)</t>
  </si>
  <si>
    <r>
      <t>Ntotal = sqrt (Sky + Dark + RN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</si>
  <si>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r>
      <t>Ntotal</t>
    </r>
    <r>
      <rPr>
        <vertAlign val="subscript"/>
        <sz val="11"/>
        <color theme="1"/>
        <rFont val="Calibri"/>
        <family val="2"/>
        <scheme val="minor"/>
      </rPr>
      <t>int</t>
    </r>
    <r>
      <rPr>
        <sz val="11"/>
        <color theme="1"/>
        <rFont val="Calibri"/>
        <family val="2"/>
        <scheme val="minor"/>
      </rPr>
      <t xml:space="preserve"> = Ntotal/sqrt(Csubs)</t>
    </r>
  </si>
  <si>
    <t>Bits = log(FWCeff/Ntotal) / log(2)</t>
  </si>
  <si>
    <r>
      <t>Bits</t>
    </r>
    <r>
      <rPr>
        <vertAlign val="subscript"/>
        <sz val="11"/>
        <color theme="1"/>
        <rFont val="Calibri"/>
        <family val="2"/>
        <scheme val="minor"/>
      </rPr>
      <t xml:space="preserve">int </t>
    </r>
    <r>
      <rPr>
        <sz val="11"/>
        <color theme="1"/>
        <rFont val="Calibri"/>
        <family val="2"/>
        <scheme val="minor"/>
      </rPr>
      <t>= log(sqrt(Csubs)*(FWCeff/Ntotal</t>
    </r>
    <r>
      <rPr>
        <sz val="11"/>
        <color theme="1"/>
        <rFont val="Calibri"/>
        <family val="2"/>
        <scheme val="minor"/>
      </rPr>
      <t>)) / log(2)</t>
    </r>
  </si>
  <si>
    <r>
      <t>SNR = (Csubs*Obj)/sqrt(Csubs*(Obj+Sky+Dark+RN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))</t>
    </r>
  </si>
  <si>
    <t>Sky flux</t>
  </si>
  <si>
    <t>Sky Background</t>
  </si>
  <si>
    <t>mag/sq-arcsec</t>
  </si>
  <si>
    <t>Scope Aperture</t>
  </si>
  <si>
    <t>Scope focal length</t>
  </si>
  <si>
    <t>pixel size</t>
  </si>
  <si>
    <t>micron</t>
  </si>
  <si>
    <t>nanometers</t>
  </si>
  <si>
    <t>filter bandwidth</t>
  </si>
  <si>
    <t>Desired Swamp Factor</t>
  </si>
  <si>
    <r>
      <t>(skyflux / RN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</si>
  <si>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t>Input:</t>
  </si>
  <si>
    <t>Output:</t>
  </si>
  <si>
    <t>(e/sec) / pixel</t>
  </si>
  <si>
    <t>Total Integration Time</t>
  </si>
  <si>
    <t>minutes</t>
  </si>
  <si>
    <t>filter wavelength</t>
  </si>
  <si>
    <t>lambda</t>
  </si>
  <si>
    <t>flux</t>
  </si>
  <si>
    <t>Gain</t>
  </si>
  <si>
    <t>Sub-exp</t>
  </si>
  <si>
    <t>N</t>
  </si>
  <si>
    <t>SNR</t>
  </si>
  <si>
    <t>Integrated</t>
  </si>
  <si>
    <t>Dark Current</t>
  </si>
  <si>
    <t>(QE, etc)</t>
  </si>
  <si>
    <t>Transmission efficiency</t>
  </si>
  <si>
    <t>bits</t>
  </si>
  <si>
    <t>(e/sec)/pixel = T*Photon flux*bandwidth*sampling^2*(PI()*aperture^2/4)</t>
  </si>
  <si>
    <t>Your sky</t>
  </si>
  <si>
    <t>Measured Sky Background</t>
  </si>
  <si>
    <t>Photon flux = (e/sec)/pixel/[T*bandwidth*sampling^2*(PI()*aperure^2/4)]</t>
  </si>
  <si>
    <t>Photon flux for 20.7 sky</t>
  </si>
  <si>
    <r>
      <t>m1 = mref-2.5log(I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/I</t>
    </r>
    <r>
      <rPr>
        <vertAlign val="subscript"/>
        <sz val="11"/>
        <color theme="1"/>
        <rFont val="Calibri"/>
        <family val="2"/>
        <scheme val="minor"/>
      </rPr>
      <t>ref</t>
    </r>
    <r>
      <rPr>
        <sz val="11"/>
        <color theme="1"/>
        <rFont val="Calibri"/>
        <family val="2"/>
        <scheme val="minor"/>
      </rPr>
      <t>)</t>
    </r>
  </si>
  <si>
    <t>16 bit</t>
  </si>
  <si>
    <t>Skyglow background</t>
  </si>
  <si>
    <t>ADU of an area in the background</t>
  </si>
  <si>
    <t>Dark signal</t>
  </si>
  <si>
    <t>ADU of a matched dark frame</t>
  </si>
  <si>
    <t>Bias signal</t>
  </si>
  <si>
    <t>ADU of your bias</t>
  </si>
  <si>
    <t>e-/ADU</t>
  </si>
  <si>
    <t>in electrons</t>
  </si>
  <si>
    <t>ADU</t>
  </si>
  <si>
    <t>electrons</t>
  </si>
  <si>
    <t>Skyglow signal</t>
  </si>
  <si>
    <t>ADU/sec</t>
  </si>
  <si>
    <t>Duration (seconds) for light frame &amp; dark</t>
  </si>
  <si>
    <t>Input Data from an Image</t>
  </si>
  <si>
    <t>Your sky photon flux</t>
  </si>
  <si>
    <t>Equations:</t>
  </si>
  <si>
    <t>Offset</t>
  </si>
  <si>
    <t>© 2019 S. Bellavia</t>
  </si>
  <si>
    <t>Read Noise</t>
  </si>
  <si>
    <t>14 bit</t>
  </si>
  <si>
    <t>Bias          (14 bit ADU's)</t>
  </si>
  <si>
    <r>
      <t>(phs/s/nm/arcsec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/m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</si>
  <si>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r>
      <t>(photons/sec/nm/arcsec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/m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</si>
  <si>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t>DR (bits)</t>
  </si>
  <si>
    <t>Enter Gain for DR and SNR vs. Total Integration:</t>
  </si>
  <si>
    <t>object signal</t>
  </si>
  <si>
    <r>
      <t>mag/arcsec</t>
    </r>
    <r>
      <rPr>
        <vertAlign val="superscript"/>
        <sz val="11"/>
        <color theme="1"/>
        <rFont val="Calibri"/>
        <family val="2"/>
        <scheme val="minor"/>
      </rPr>
      <t>2</t>
    </r>
  </si>
  <si>
    <t>f/#</t>
  </si>
  <si>
    <t>(minutes)</t>
  </si>
  <si>
    <t>Exposure duration (seconds)</t>
  </si>
  <si>
    <t>© 2021 S. Bellavia</t>
  </si>
  <si>
    <t>ONLY ENTER DATA IN BLUE (OR GRAY) BOXES.  DO NOT ALTER DATA ON OTHER SHEETS</t>
  </si>
  <si>
    <t>Note:  Once you manually enter the Skybackground, Cell D6, and Dark Current, cell D12,  you will lose the link to that calcualtion.  To retrieve it change Cell D6 back to "=H34" and cell D12 back to "=K24"</t>
  </si>
  <si>
    <t>Filter:</t>
  </si>
  <si>
    <t>Filter</t>
  </si>
  <si>
    <t>Wavelength</t>
  </si>
  <si>
    <t>Bandpass</t>
  </si>
  <si>
    <t>Blue</t>
  </si>
  <si>
    <t>Green</t>
  </si>
  <si>
    <t>Ha 12 nm</t>
  </si>
  <si>
    <t>Ha 3 nm</t>
  </si>
  <si>
    <t>Ha 6 nm</t>
  </si>
  <si>
    <t>Ha 7 nm</t>
  </si>
  <si>
    <t>IDAS Duo</t>
  </si>
  <si>
    <t>Lum</t>
  </si>
  <si>
    <t>OIII 12 nm</t>
  </si>
  <si>
    <t>OIII 3 nm</t>
  </si>
  <si>
    <t>OIII 6 nm</t>
  </si>
  <si>
    <t>OIII 7 nm</t>
  </si>
  <si>
    <t>Optolong L-Enhance</t>
  </si>
  <si>
    <t>Red</t>
  </si>
  <si>
    <t>SII 12 nm</t>
  </si>
  <si>
    <t>SII 3 nm</t>
  </si>
  <si>
    <t>SII 6 nm</t>
  </si>
  <si>
    <t>SII 7 nm</t>
  </si>
  <si>
    <t>Triad</t>
  </si>
  <si>
    <t>ZWO Duo</t>
  </si>
  <si>
    <t>Results</t>
  </si>
  <si>
    <r>
      <t xml:space="preserve">ZWO ASI 294 </t>
    </r>
    <r>
      <rPr>
        <b/>
        <sz val="18"/>
        <color rgb="FFFF0000"/>
        <rFont val="Calibri"/>
        <family val="2"/>
        <scheme val="minor"/>
      </rPr>
      <t>BIN 2</t>
    </r>
    <r>
      <rPr>
        <b/>
        <sz val="18"/>
        <color theme="1"/>
        <rFont val="Calibri"/>
        <family val="2"/>
        <scheme val="minor"/>
      </rPr>
      <t xml:space="preserve"> Gain and Sub-Exposure Calculator</t>
    </r>
  </si>
  <si>
    <r>
      <t xml:space="preserve">ZWO ASI 294 </t>
    </r>
    <r>
      <rPr>
        <b/>
        <sz val="11"/>
        <color rgb="FFFF0000"/>
        <rFont val="Calibri"/>
        <family val="2"/>
        <scheme val="minor"/>
      </rPr>
      <t>BIN2</t>
    </r>
    <r>
      <rPr>
        <b/>
        <sz val="11"/>
        <color theme="1"/>
        <rFont val="Calibri"/>
        <family val="2"/>
        <scheme val="minor"/>
      </rPr>
      <t xml:space="preserve"> Gain-sub-exposure</t>
    </r>
  </si>
  <si>
    <r>
      <rPr>
        <b/>
        <sz val="11"/>
        <color theme="1"/>
        <rFont val="Calibri"/>
        <family val="2"/>
        <scheme val="minor"/>
      </rPr>
      <t xml:space="preserve"> OR</t>
    </r>
    <r>
      <rPr>
        <sz val="11"/>
        <color theme="1"/>
        <rFont val="Calibri"/>
        <family val="2"/>
        <scheme val="minor"/>
      </rPr>
      <t xml:space="preserve">   take data directly from an image:</t>
    </r>
  </si>
  <si>
    <t>Enter Camera Gain</t>
  </si>
  <si>
    <t>actual skyflux</t>
  </si>
  <si>
    <t>measured background</t>
  </si>
  <si>
    <t>actual background</t>
  </si>
  <si>
    <t>IDAS LPS D1</t>
  </si>
  <si>
    <t>L-Extreme</t>
  </si>
  <si>
    <t>DR calc</t>
  </si>
  <si>
    <t>Dynamic Range = 20 × Log(FWC /RN) in decibels</t>
  </si>
  <si>
    <t>DR = Log (FWC/RN)  / Log (2)  in stops</t>
  </si>
  <si>
    <t>If you know your sky background and dark current, enter it here: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</si>
</sst>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rgb="FF7030A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E7E7"/>
        <bgColor indexed="64"/>
      </patternFill>
    </fill>
    <fill>
      <patternFill patternType="solid">
        <fgColor rgb="FFE9F4E8"/>
        <bgColor indexed="64"/>
      </patternFill>
    </fill>
    <fill>
      <patternFill patternType="solid">
        <fgColor theme="2" tint="-9.9978637043366805E-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2" borderId="9" xfId="0" applyFill="1" applyBorder="1" applyAlignment="1">
      <alignment horizontal="center"/>
    </xf>
    <xf numFmtId="164" fontId="1" fillId="3" borderId="9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0" fontId="0" fillId="0" borderId="0" xfId="0" applyAlignment="1">
      <alignment horizontal="right" wrapText="1"/>
    </xf>
    <xf numFmtId="0" fontId="0" fillId="0" borderId="0" xfId="0" applyAlignment="1">
      <alignment horizontal="center" vertical="center"/>
    </xf>
    <xf numFmtId="164" fontId="0" fillId="2" borderId="9" xfId="0" applyNumberForma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164" fontId="3" fillId="3" borderId="9" xfId="0" applyNumberFormat="1" applyFont="1" applyFill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Font="1" applyAlignment="1">
      <alignment horizontal="center"/>
    </xf>
    <xf numFmtId="0" fontId="1" fillId="0" borderId="0" xfId="0" applyFont="1"/>
    <xf numFmtId="2" fontId="0" fillId="0" borderId="0" xfId="0" applyNumberFormat="1" applyAlignment="1">
      <alignment horizontal="center"/>
    </xf>
    <xf numFmtId="1" fontId="0" fillId="0" borderId="0" xfId="0" applyNumberFormat="1" applyFont="1" applyAlignment="1">
      <alignment horizontal="center"/>
    </xf>
    <xf numFmtId="165" fontId="0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2" fontId="1" fillId="0" borderId="0" xfId="0" applyNumberFormat="1" applyFont="1" applyAlignment="1">
      <alignment horizontal="center"/>
    </xf>
    <xf numFmtId="2" fontId="0" fillId="0" borderId="0" xfId="0" applyNumberFormat="1"/>
    <xf numFmtId="0" fontId="1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164" fontId="0" fillId="4" borderId="9" xfId="0" applyNumberFormat="1" applyFill="1" applyBorder="1"/>
    <xf numFmtId="2" fontId="0" fillId="4" borderId="9" xfId="0" applyNumberFormat="1" applyFill="1" applyBorder="1"/>
    <xf numFmtId="164" fontId="0" fillId="0" borderId="0" xfId="0" applyNumberFormat="1" applyFill="1" applyBorder="1"/>
    <xf numFmtId="164" fontId="0" fillId="0" borderId="0" xfId="0" applyNumberForma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1" fontId="0" fillId="0" borderId="7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0" fontId="1" fillId="0" borderId="1" xfId="0" applyFont="1" applyBorder="1"/>
    <xf numFmtId="0" fontId="0" fillId="0" borderId="2" xfId="0" applyFill="1" applyBorder="1"/>
    <xf numFmtId="0" fontId="0" fillId="0" borderId="0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2" xfId="0" applyBorder="1" applyAlignment="1">
      <alignment horizontal="right"/>
    </xf>
    <xf numFmtId="2" fontId="0" fillId="2" borderId="9" xfId="0" applyNumberFormat="1" applyFill="1" applyBorder="1" applyAlignment="1">
      <alignment horizontal="center"/>
    </xf>
    <xf numFmtId="164" fontId="0" fillId="2" borderId="9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9" xfId="0" applyFill="1" applyBorder="1" applyAlignment="1">
      <alignment horizontal="left"/>
    </xf>
    <xf numFmtId="0" fontId="10" fillId="0" borderId="4" xfId="0" applyFont="1" applyBorder="1"/>
    <xf numFmtId="0" fontId="11" fillId="0" borderId="0" xfId="0" applyFont="1" applyBorder="1"/>
    <xf numFmtId="0" fontId="0" fillId="0" borderId="0" xfId="0" applyBorder="1" applyAlignment="1">
      <alignment horizontal="left"/>
    </xf>
    <xf numFmtId="0" fontId="0" fillId="0" borderId="4" xfId="0" applyBorder="1" applyAlignment="1">
      <alignment horizontal="right"/>
    </xf>
    <xf numFmtId="0" fontId="10" fillId="0" borderId="1" xfId="0" applyFont="1" applyBorder="1"/>
    <xf numFmtId="0" fontId="11" fillId="0" borderId="7" xfId="0" applyFont="1" applyBorder="1"/>
    <xf numFmtId="0" fontId="12" fillId="0" borderId="3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164" fontId="13" fillId="4" borderId="22" xfId="0" applyNumberFormat="1" applyFont="1" applyFill="1" applyBorder="1" applyAlignment="1">
      <alignment horizontal="center"/>
    </xf>
    <xf numFmtId="164" fontId="0" fillId="4" borderId="9" xfId="0" applyNumberFormat="1" applyFill="1" applyBorder="1" applyAlignment="1">
      <alignment horizontal="center"/>
    </xf>
    <xf numFmtId="1" fontId="0" fillId="0" borderId="0" xfId="0" applyNumberFormat="1"/>
    <xf numFmtId="164" fontId="0" fillId="4" borderId="21" xfId="0" applyNumberFormat="1" applyFill="1" applyBorder="1" applyAlignment="1">
      <alignment horizontal="center"/>
    </xf>
    <xf numFmtId="164" fontId="0" fillId="4" borderId="23" xfId="0" applyNumberForma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5" xfId="0" applyBorder="1"/>
    <xf numFmtId="164" fontId="0" fillId="4" borderId="21" xfId="0" applyNumberFormat="1" applyFill="1" applyBorder="1"/>
    <xf numFmtId="0" fontId="0" fillId="0" borderId="26" xfId="0" applyBorder="1"/>
    <xf numFmtId="165" fontId="0" fillId="5" borderId="9" xfId="0" applyNumberFormat="1" applyFill="1" applyBorder="1"/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2" fontId="0" fillId="4" borderId="9" xfId="0" applyNumberFormat="1" applyFill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0" fillId="2" borderId="21" xfId="0" applyFill="1" applyBorder="1" applyAlignment="1">
      <alignment horizontal="left"/>
    </xf>
    <xf numFmtId="0" fontId="12" fillId="0" borderId="1" xfId="0" applyFont="1" applyBorder="1"/>
    <xf numFmtId="0" fontId="0" fillId="0" borderId="2" xfId="0" applyBorder="1" applyAlignment="1">
      <alignment horizontal="left"/>
    </xf>
    <xf numFmtId="0" fontId="11" fillId="0" borderId="2" xfId="0" applyFont="1" applyBorder="1"/>
    <xf numFmtId="165" fontId="0" fillId="4" borderId="9" xfId="0" applyNumberFormat="1" applyFill="1" applyBorder="1" applyAlignment="1">
      <alignment horizontal="left"/>
    </xf>
    <xf numFmtId="165" fontId="0" fillId="4" borderId="21" xfId="0" applyNumberFormat="1" applyFill="1" applyBorder="1" applyAlignment="1">
      <alignment horizontal="left"/>
    </xf>
    <xf numFmtId="0" fontId="0" fillId="2" borderId="21" xfId="0" applyFill="1" applyBorder="1" applyAlignment="1">
      <alignment horizontal="center"/>
    </xf>
    <xf numFmtId="0" fontId="18" fillId="2" borderId="24" xfId="0" applyFont="1" applyFill="1" applyBorder="1" applyAlignment="1">
      <alignment horizontal="center"/>
    </xf>
    <xf numFmtId="164" fontId="0" fillId="6" borderId="9" xfId="0" applyNumberFormat="1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0" borderId="0" xfId="0" applyAlignment="1">
      <alignment horizontal="center"/>
    </xf>
    <xf numFmtId="0" fontId="19" fillId="0" borderId="0" xfId="0" applyFont="1" applyAlignment="1">
      <alignment horizontal="center"/>
    </xf>
    <xf numFmtId="165" fontId="19" fillId="0" borderId="0" xfId="0" applyNumberFormat="1" applyFont="1" applyAlignment="1">
      <alignment horizontal="center"/>
    </xf>
    <xf numFmtId="2" fontId="20" fillId="0" borderId="0" xfId="0" applyNumberFormat="1" applyFont="1" applyAlignment="1">
      <alignment horizontal="center"/>
    </xf>
    <xf numFmtId="1" fontId="20" fillId="0" borderId="0" xfId="0" applyNumberFormat="1" applyFont="1" applyAlignment="1">
      <alignment horizontal="center"/>
    </xf>
    <xf numFmtId="165" fontId="20" fillId="0" borderId="0" xfId="0" applyNumberFormat="1" applyFont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/>
    <xf numFmtId="2" fontId="14" fillId="0" borderId="0" xfId="0" applyNumberFormat="1" applyFont="1" applyAlignment="1">
      <alignment horizontal="center"/>
    </xf>
    <xf numFmtId="2" fontId="20" fillId="0" borderId="0" xfId="0" applyNumberFormat="1" applyFont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5" xfId="0" applyBorder="1" applyAlignment="1">
      <alignment horizontal="center"/>
    </xf>
    <xf numFmtId="165" fontId="0" fillId="6" borderId="9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FFE7E7"/>
      <color rgb="FFE9F4E8"/>
      <color rgb="FFDDFFFF"/>
      <color rgb="FFFFFFCC"/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893858481539095"/>
          <c:y val="0.16206128133704739"/>
          <c:w val="0.82175387954306134"/>
          <c:h val="0.66413221327835414"/>
        </c:manualLayout>
      </c:layout>
      <c:scatterChart>
        <c:scatterStyle val="lineMarker"/>
        <c:varyColors val="0"/>
        <c:ser>
          <c:idx val="0"/>
          <c:order val="0"/>
          <c:tx>
            <c:strRef>
              <c:f>Skyflux!$F$9</c:f>
              <c:strCache>
                <c:ptCount val="1"/>
                <c:pt idx="0">
                  <c:v>flux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-9.146259842519687E-2"/>
                  <c:y val="-9.0848643919510058E-2"/>
                </c:manualLayout>
              </c:layout>
              <c:numFmt formatCode="0.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Skyflux!$E$10:$E$12</c:f>
              <c:numCache>
                <c:formatCode>General</c:formatCode>
                <c:ptCount val="3"/>
                <c:pt idx="0">
                  <c:v>450</c:v>
                </c:pt>
                <c:pt idx="1">
                  <c:v>550</c:v>
                </c:pt>
                <c:pt idx="2">
                  <c:v>656</c:v>
                </c:pt>
              </c:numCache>
            </c:numRef>
          </c:xVal>
          <c:yVal>
            <c:numRef>
              <c:f>Skyflux!$F$10:$F$12</c:f>
              <c:numCache>
                <c:formatCode>0.000</c:formatCode>
                <c:ptCount val="3"/>
                <c:pt idx="0" formatCode="General">
                  <c:v>0.57599999999999996</c:v>
                </c:pt>
                <c:pt idx="1">
                  <c:v>0.54</c:v>
                </c:pt>
                <c:pt idx="2" formatCode="General">
                  <c:v>0.49199999999999999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050-43FB-BD68-58CDF31F85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8949088"/>
        <c:axId val="218949416"/>
      </c:scatterChart>
      <c:valAx>
        <c:axId val="218949088"/>
        <c:scaling>
          <c:orientation val="minMax"/>
          <c:min val="4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Wavelength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8949416"/>
        <c:crosses val="autoZero"/>
        <c:crossBetween val="midCat"/>
      </c:valAx>
      <c:valAx>
        <c:axId val="218949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Flux</a:t>
                </a:r>
              </a:p>
            </c:rich>
          </c:tx>
          <c:layout>
            <c:manualLayout>
              <c:xMode val="edge"/>
              <c:yMode val="edge"/>
              <c:x val="1.8452031581592015E-2"/>
              <c:y val="0.435603711096001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89490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Skyflux!$F$9</c:f>
              <c:strCache>
                <c:ptCount val="1"/>
                <c:pt idx="0">
                  <c:v>flux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19212650313274268"/>
                  <c:y val="-9.8722028678454032E-2"/>
                </c:manualLayout>
              </c:layout>
              <c:numFmt formatCode="#,##0.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Skyflux!$E$10:$E$12</c:f>
              <c:numCache>
                <c:formatCode>General</c:formatCode>
                <c:ptCount val="3"/>
                <c:pt idx="0">
                  <c:v>450</c:v>
                </c:pt>
                <c:pt idx="1">
                  <c:v>550</c:v>
                </c:pt>
                <c:pt idx="2">
                  <c:v>656</c:v>
                </c:pt>
              </c:numCache>
            </c:numRef>
          </c:xVal>
          <c:yVal>
            <c:numRef>
              <c:f>Skyflux!$F$10:$F$12</c:f>
              <c:numCache>
                <c:formatCode>0.000</c:formatCode>
                <c:ptCount val="3"/>
                <c:pt idx="0" formatCode="General">
                  <c:v>0.57599999999999996</c:v>
                </c:pt>
                <c:pt idx="1">
                  <c:v>0.54</c:v>
                </c:pt>
                <c:pt idx="2" formatCode="General">
                  <c:v>0.49199999999999999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92E-44C7-8346-1786F760FC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96463359"/>
        <c:axId val="996451711"/>
      </c:scatterChart>
      <c:valAx>
        <c:axId val="996463359"/>
        <c:scaling>
          <c:orientation val="minMax"/>
          <c:min val="4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6451711"/>
        <c:crosses val="autoZero"/>
        <c:crossBetween val="midCat"/>
      </c:valAx>
      <c:valAx>
        <c:axId val="9964517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646335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Sony</a:t>
            </a:r>
            <a:r>
              <a:rPr lang="en-US" baseline="0"/>
              <a:t> IMX 294</a:t>
            </a:r>
          </a:p>
          <a:p>
            <a:pPr>
              <a:defRPr/>
            </a:pPr>
            <a:r>
              <a:rPr lang="en-US"/>
              <a:t>Integrated Bit Depth vs </a:t>
            </a:r>
            <a:r>
              <a:rPr lang="en-US" baseline="0"/>
              <a:t>Gain</a:t>
            </a:r>
          </a:p>
        </c:rich>
      </c:tx>
      <c:layout>
        <c:manualLayout>
          <c:xMode val="edge"/>
          <c:yMode val="edge"/>
          <c:x val="0.23330424090573468"/>
          <c:y val="3.456464460317702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187611346532373"/>
          <c:y val="0.19457721872816214"/>
          <c:w val="0.64008249586669796"/>
          <c:h val="0.68371679955099951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'ASI294-specs-DR-SNR'!$AC$4</c:f>
              <c:strCache>
                <c:ptCount val="1"/>
                <c:pt idx="0">
                  <c:v>Int Bits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'ASI294-specs-DR-SNR'!$A$5:$A$44</c:f>
              <c:numCache>
                <c:formatCode>General</c:formatCode>
                <c:ptCount val="40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</c:numCache>
            </c:numRef>
          </c:xVal>
          <c:yVal>
            <c:numRef>
              <c:f>'ASI294-specs-DR-SNR'!$AC$5:$AC$44</c:f>
              <c:numCache>
                <c:formatCode>0.00</c:formatCode>
                <c:ptCount val="40"/>
                <c:pt idx="0">
                  <c:v>13.054592849198791</c:v>
                </c:pt>
                <c:pt idx="1">
                  <c:v>12.964389126502015</c:v>
                </c:pt>
                <c:pt idx="2">
                  <c:v>12.869960538815944</c:v>
                </c:pt>
                <c:pt idx="3">
                  <c:v>12.77087316873148</c:v>
                </c:pt>
                <c:pt idx="4">
                  <c:v>12.666687358487106</c:v>
                </c:pt>
                <c:pt idx="5">
                  <c:v>12.556962787691592</c:v>
                </c:pt>
                <c:pt idx="6">
                  <c:v>12.441264071023642</c:v>
                </c:pt>
                <c:pt idx="7">
                  <c:v>12.319166697330191</c:v>
                </c:pt>
                <c:pt idx="8">
                  <c:v>12.190263067760107</c:v>
                </c:pt>
                <c:pt idx="9">
                  <c:v>12.054168327884659</c:v>
                </c:pt>
                <c:pt idx="10">
                  <c:v>11.910525631902907</c:v>
                </c:pt>
                <c:pt idx="11">
                  <c:v>11.759010430482627</c:v>
                </c:pt>
                <c:pt idx="12">
                  <c:v>15.173591930821855</c:v>
                </c:pt>
                <c:pt idx="13">
                  <c:v>15.060656644464348</c:v>
                </c:pt>
                <c:pt idx="14">
                  <c:v>14.946113416773644</c:v>
                </c:pt>
                <c:pt idx="15">
                  <c:v>14.829830279613631</c:v>
                </c:pt>
                <c:pt idx="16">
                  <c:v>14.711671448843909</c:v>
                </c:pt>
                <c:pt idx="17">
                  <c:v>14.591497825785858</c:v>
                </c:pt>
                <c:pt idx="18">
                  <c:v>14.469167610397857</c:v>
                </c:pt>
                <c:pt idx="19">
                  <c:v>14.344537035722192</c:v>
                </c:pt>
                <c:pt idx="20">
                  <c:v>14.217461230464219</c:v>
                </c:pt>
                <c:pt idx="21">
                  <c:v>14.087795211437728</c:v>
                </c:pt>
                <c:pt idx="22">
                  <c:v>13.955394998746808</c:v>
                </c:pt>
                <c:pt idx="23">
                  <c:v>13.820118832053375</c:v>
                </c:pt>
                <c:pt idx="24">
                  <c:v>13.681828443321246</c:v>
                </c:pt>
                <c:pt idx="25">
                  <c:v>13.540390306046149</c:v>
                </c:pt>
                <c:pt idx="26">
                  <c:v>13.395676727513832</c:v>
                </c:pt>
                <c:pt idx="27">
                  <c:v>13.247566571098787</c:v>
                </c:pt>
                <c:pt idx="28">
                  <c:v>13.095945278865248</c:v>
                </c:pt>
                <c:pt idx="29">
                  <c:v>12.940703695221863</c:v>
                </c:pt>
                <c:pt idx="30">
                  <c:v>12.781734948471733</c:v>
                </c:pt>
                <c:pt idx="31">
                  <c:v>12.618928298398611</c:v>
                </c:pt>
                <c:pt idx="32">
                  <c:v>12.452158360947006</c:v>
                </c:pt>
                <c:pt idx="33">
                  <c:v>12.281267410610468</c:v>
                </c:pt>
                <c:pt idx="34">
                  <c:v>12.106037434771894</c:v>
                </c:pt>
                <c:pt idx="35">
                  <c:v>11.926147098138049</c:v>
                </c:pt>
                <c:pt idx="36">
                  <c:v>11.741106452566951</c:v>
                </c:pt>
                <c:pt idx="37">
                  <c:v>11.550158480395144</c:v>
                </c:pt>
                <c:pt idx="38">
                  <c:v>11.35213011647984</c:v>
                </c:pt>
                <c:pt idx="39">
                  <c:v>11.145203507384913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D44-4FD5-A751-EDFE3D6E16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2335896"/>
        <c:axId val="384894256"/>
      </c:scatterChart>
      <c:valAx>
        <c:axId val="384894256"/>
        <c:scaling>
          <c:orientation val="minMax"/>
          <c:min val="1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Integrated Bit Depth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2335896"/>
        <c:crosses val="autoZero"/>
        <c:crossBetween val="midCat"/>
      </c:valAx>
      <c:valAx>
        <c:axId val="3923358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Gain 10 x db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8942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9201253712035267"/>
          <c:y val="0.73650110637578758"/>
          <c:w val="0.20006552018138166"/>
          <c:h val="4.35206140818471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FWC!$B$1</c:f>
              <c:strCache>
                <c:ptCount val="1"/>
                <c:pt idx="0">
                  <c:v>FWC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-0.11368298368298368"/>
                  <c:y val="-0.40844437302480047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1200" baseline="0"/>
                      <a:t>y = 63.253e</a:t>
                    </a:r>
                    <a:r>
                      <a:rPr lang="en-US" sz="1200" baseline="30000"/>
                      <a:t>-0.012x</a:t>
                    </a:r>
                    <a:br>
                      <a:rPr lang="en-US" sz="1200" baseline="0"/>
                    </a:br>
                    <a:r>
                      <a:rPr lang="en-US" sz="1200" baseline="0"/>
                      <a:t>R² = 0.9991</a:t>
                    </a:r>
                    <a:endParaRPr lang="en-US" sz="1200"/>
                  </a:p>
                </c:rich>
              </c:tx>
              <c:numFmt formatCode="0.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FWC!$A$2:$A$42</c:f>
              <c:numCache>
                <c:formatCode>General</c:formatCode>
                <c:ptCount val="4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</c:numCache>
            </c:numRef>
          </c:xVal>
          <c:yVal>
            <c:numRef>
              <c:f>FWC!$B$2:$B$42</c:f>
              <c:numCache>
                <c:formatCode>General</c:formatCode>
                <c:ptCount val="41"/>
                <c:pt idx="0">
                  <c:v>63.7</c:v>
                </c:pt>
                <c:pt idx="5">
                  <c:v>35</c:v>
                </c:pt>
                <c:pt idx="10">
                  <c:v>21</c:v>
                </c:pt>
                <c:pt idx="12">
                  <c:v>16</c:v>
                </c:pt>
                <c:pt idx="13">
                  <c:v>13</c:v>
                </c:pt>
                <c:pt idx="15">
                  <c:v>10</c:v>
                </c:pt>
                <c:pt idx="20">
                  <c:v>5.6</c:v>
                </c:pt>
                <c:pt idx="25">
                  <c:v>3.2</c:v>
                </c:pt>
                <c:pt idx="30">
                  <c:v>1.8</c:v>
                </c:pt>
                <c:pt idx="35">
                  <c:v>1</c:v>
                </c:pt>
                <c:pt idx="39">
                  <c:v>0.65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C65-4B00-8C5A-F94F1E9A04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7599640"/>
        <c:axId val="437599968"/>
      </c:scatterChart>
      <c:valAx>
        <c:axId val="437599640"/>
        <c:scaling>
          <c:orientation val="minMax"/>
          <c:max val="4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7599968"/>
        <c:crosses val="autoZero"/>
        <c:crossBetween val="midCat"/>
      </c:valAx>
      <c:valAx>
        <c:axId val="437599968"/>
        <c:scaling>
          <c:logBase val="10"/>
          <c:orientation val="minMax"/>
          <c:min val="0.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75996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Gain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4"/>
            <c:dispRSqr val="1"/>
            <c:dispEq val="1"/>
            <c:trendlineLbl>
              <c:layout>
                <c:manualLayout>
                  <c:x val="5.7124274747354081E-3"/>
                  <c:y val="-0.42811589727754618"/>
                </c:manualLayout>
              </c:layout>
              <c:numFmt formatCode="0.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Gain!$A$2:$A$42</c:f>
              <c:numCache>
                <c:formatCode>General</c:formatCode>
                <c:ptCount val="4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</c:numCache>
            </c:numRef>
          </c:xVal>
          <c:yVal>
            <c:numRef>
              <c:f>Gain!$B$2:$B$42</c:f>
              <c:numCache>
                <c:formatCode>0.00</c:formatCode>
                <c:ptCount val="41"/>
                <c:pt idx="0">
                  <c:v>3.9</c:v>
                </c:pt>
                <c:pt idx="5">
                  <c:v>2.1</c:v>
                </c:pt>
                <c:pt idx="10">
                  <c:v>1.2</c:v>
                </c:pt>
                <c:pt idx="12">
                  <c:v>0.9</c:v>
                </c:pt>
                <c:pt idx="13">
                  <c:v>0.8</c:v>
                </c:pt>
                <c:pt idx="15">
                  <c:v>0.6</c:v>
                </c:pt>
                <c:pt idx="20">
                  <c:v>0.35</c:v>
                </c:pt>
                <c:pt idx="25">
                  <c:v>0.22</c:v>
                </c:pt>
                <c:pt idx="30">
                  <c:v>0.15</c:v>
                </c:pt>
                <c:pt idx="35">
                  <c:v>0.12</c:v>
                </c:pt>
                <c:pt idx="39">
                  <c:v>0.1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E89-4423-B8A8-600EAAB094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3624776"/>
        <c:axId val="484653264"/>
      </c:scatterChart>
      <c:valAx>
        <c:axId val="493624776"/>
        <c:scaling>
          <c:orientation val="minMax"/>
          <c:max val="4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653264"/>
        <c:crosses val="autoZero"/>
        <c:crossBetween val="midCat"/>
      </c:valAx>
      <c:valAx>
        <c:axId val="484653264"/>
        <c:scaling>
          <c:orientation val="minMax"/>
          <c:max val="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36247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DR!$B$1</c:f>
              <c:strCache>
                <c:ptCount val="1"/>
                <c:pt idx="0">
                  <c:v>DR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DR!$A$2:$A$42</c:f>
              <c:numCache>
                <c:formatCode>General</c:formatCode>
                <c:ptCount val="4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</c:numCache>
            </c:numRef>
          </c:xVal>
          <c:yVal>
            <c:numRef>
              <c:f>DR!$B$2:$B$42</c:f>
              <c:numCache>
                <c:formatCode>0.00</c:formatCode>
                <c:ptCount val="41"/>
                <c:pt idx="0">
                  <c:v>13.1</c:v>
                </c:pt>
                <c:pt idx="5">
                  <c:v>12.4</c:v>
                </c:pt>
                <c:pt idx="10">
                  <c:v>11.75</c:v>
                </c:pt>
                <c:pt idx="12">
                  <c:v>13</c:v>
                </c:pt>
                <c:pt idx="13">
                  <c:v>12.8</c:v>
                </c:pt>
                <c:pt idx="15">
                  <c:v>12.6</c:v>
                </c:pt>
                <c:pt idx="20">
                  <c:v>11.85</c:v>
                </c:pt>
                <c:pt idx="25">
                  <c:v>11.1</c:v>
                </c:pt>
                <c:pt idx="30">
                  <c:v>10.4</c:v>
                </c:pt>
                <c:pt idx="35">
                  <c:v>9.6</c:v>
                </c:pt>
                <c:pt idx="39">
                  <c:v>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B54-4F64-8DD1-59D4D02273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3624776"/>
        <c:axId val="484653264"/>
      </c:scatterChart>
      <c:valAx>
        <c:axId val="493624776"/>
        <c:scaling>
          <c:orientation val="minMax"/>
          <c:max val="4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653264"/>
        <c:crosses val="autoZero"/>
        <c:crossBetween val="midCat"/>
      </c:valAx>
      <c:valAx>
        <c:axId val="484653264"/>
        <c:scaling>
          <c:orientation val="minMax"/>
          <c:min val="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36247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DR Gain 0 to 100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DR!$B$1</c:f>
              <c:strCache>
                <c:ptCount val="1"/>
                <c:pt idx="0">
                  <c:v>DR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4.5448162729658792E-2"/>
                  <c:y val="-0.56403579760863221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DR!$A$2:$A$12</c:f>
              <c:numCache>
                <c:formatCode>General</c:formatCode>
                <c:ptCount val="1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</c:numCache>
            </c:numRef>
          </c:xVal>
          <c:yVal>
            <c:numRef>
              <c:f>DR!$B$2:$B$12</c:f>
              <c:numCache>
                <c:formatCode>0.00</c:formatCode>
                <c:ptCount val="11"/>
                <c:pt idx="0">
                  <c:v>13.1</c:v>
                </c:pt>
                <c:pt idx="5">
                  <c:v>12.4</c:v>
                </c:pt>
                <c:pt idx="10">
                  <c:v>11.75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42A-4B73-A9ED-4E4B042F01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9695888"/>
        <c:axId val="439696216"/>
      </c:scatterChart>
      <c:valAx>
        <c:axId val="4396958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9696216"/>
        <c:crosses val="autoZero"/>
        <c:crossBetween val="midCat"/>
      </c:valAx>
      <c:valAx>
        <c:axId val="439696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96958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DR Gain 120 to 390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22961395450568678"/>
                  <c:y val="-7.210921551472732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DR!$A$15:$A$42</c:f>
              <c:numCache>
                <c:formatCode>General</c:formatCode>
                <c:ptCount val="28"/>
                <c:pt idx="0">
                  <c:v>130</c:v>
                </c:pt>
                <c:pt idx="1">
                  <c:v>140</c:v>
                </c:pt>
                <c:pt idx="2">
                  <c:v>150</c:v>
                </c:pt>
                <c:pt idx="3">
                  <c:v>160</c:v>
                </c:pt>
                <c:pt idx="4">
                  <c:v>170</c:v>
                </c:pt>
                <c:pt idx="5">
                  <c:v>180</c:v>
                </c:pt>
                <c:pt idx="6">
                  <c:v>190</c:v>
                </c:pt>
                <c:pt idx="7">
                  <c:v>200</c:v>
                </c:pt>
                <c:pt idx="8">
                  <c:v>210</c:v>
                </c:pt>
                <c:pt idx="9">
                  <c:v>220</c:v>
                </c:pt>
                <c:pt idx="10">
                  <c:v>230</c:v>
                </c:pt>
                <c:pt idx="11">
                  <c:v>240</c:v>
                </c:pt>
                <c:pt idx="12">
                  <c:v>250</c:v>
                </c:pt>
                <c:pt idx="13">
                  <c:v>260</c:v>
                </c:pt>
                <c:pt idx="14">
                  <c:v>270</c:v>
                </c:pt>
                <c:pt idx="15">
                  <c:v>280</c:v>
                </c:pt>
                <c:pt idx="16">
                  <c:v>290</c:v>
                </c:pt>
                <c:pt idx="17">
                  <c:v>300</c:v>
                </c:pt>
                <c:pt idx="18">
                  <c:v>310</c:v>
                </c:pt>
                <c:pt idx="19">
                  <c:v>320</c:v>
                </c:pt>
                <c:pt idx="20">
                  <c:v>330</c:v>
                </c:pt>
                <c:pt idx="21">
                  <c:v>340</c:v>
                </c:pt>
                <c:pt idx="22">
                  <c:v>350</c:v>
                </c:pt>
                <c:pt idx="23">
                  <c:v>360</c:v>
                </c:pt>
                <c:pt idx="24">
                  <c:v>370</c:v>
                </c:pt>
                <c:pt idx="25">
                  <c:v>380</c:v>
                </c:pt>
                <c:pt idx="26">
                  <c:v>390</c:v>
                </c:pt>
                <c:pt idx="27">
                  <c:v>400</c:v>
                </c:pt>
              </c:numCache>
            </c:numRef>
          </c:xVal>
          <c:yVal>
            <c:numRef>
              <c:f>DR!$B$15:$B$42</c:f>
              <c:numCache>
                <c:formatCode>0.00</c:formatCode>
                <c:ptCount val="28"/>
                <c:pt idx="0">
                  <c:v>12.8</c:v>
                </c:pt>
                <c:pt idx="2">
                  <c:v>12.6</c:v>
                </c:pt>
                <c:pt idx="7">
                  <c:v>11.85</c:v>
                </c:pt>
                <c:pt idx="12">
                  <c:v>11.1</c:v>
                </c:pt>
                <c:pt idx="17">
                  <c:v>10.4</c:v>
                </c:pt>
                <c:pt idx="22">
                  <c:v>9.6</c:v>
                </c:pt>
                <c:pt idx="26">
                  <c:v>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EAC-47D6-A9FE-AC85C0A856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3764928"/>
        <c:axId val="583765256"/>
      </c:scatterChart>
      <c:valAx>
        <c:axId val="583764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765256"/>
        <c:crosses val="autoZero"/>
        <c:crossBetween val="midCat"/>
      </c:valAx>
      <c:valAx>
        <c:axId val="583765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7649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'Read Noise'!$B$1</c:f>
              <c:strCache>
                <c:ptCount val="1"/>
                <c:pt idx="0">
                  <c:v>Read Noise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'Read Noise'!$A$2:$A$42</c:f>
              <c:numCache>
                <c:formatCode>General</c:formatCode>
                <c:ptCount val="4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</c:numCache>
            </c:numRef>
          </c:xVal>
          <c:yVal>
            <c:numRef>
              <c:f>'Read Noise'!$B$2:$B$42</c:f>
              <c:numCache>
                <c:formatCode>0.00</c:formatCode>
                <c:ptCount val="41"/>
                <c:pt idx="0">
                  <c:v>7.4</c:v>
                </c:pt>
                <c:pt idx="5">
                  <c:v>6.5</c:v>
                </c:pt>
                <c:pt idx="10">
                  <c:v>6</c:v>
                </c:pt>
                <c:pt idx="12">
                  <c:v>1.75</c:v>
                </c:pt>
                <c:pt idx="13">
                  <c:v>1.7</c:v>
                </c:pt>
                <c:pt idx="15">
                  <c:v>1.6</c:v>
                </c:pt>
                <c:pt idx="20">
                  <c:v>1.5</c:v>
                </c:pt>
                <c:pt idx="25">
                  <c:v>1.4</c:v>
                </c:pt>
                <c:pt idx="30">
                  <c:v>1.35</c:v>
                </c:pt>
                <c:pt idx="35">
                  <c:v>1.3</c:v>
                </c:pt>
                <c:pt idx="39">
                  <c:v>1.35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C-4CE1-90CD-54C2ACAFE4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3624776"/>
        <c:axId val="484653264"/>
      </c:scatterChart>
      <c:valAx>
        <c:axId val="493624776"/>
        <c:scaling>
          <c:orientation val="minMax"/>
          <c:max val="4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653264"/>
        <c:crosses val="autoZero"/>
        <c:crossBetween val="midCat"/>
      </c:valAx>
      <c:valAx>
        <c:axId val="484653264"/>
        <c:scaling>
          <c:orientation val="minMax"/>
          <c:max val="8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36247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Read Noise Gain 0 to 100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-0.16352734033245844"/>
                  <c:y val="6.4936570428696411E-2"/>
                </c:manualLayout>
              </c:layout>
              <c:numFmt formatCode="0.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'Read Noise'!$A$2:$A$12</c:f>
              <c:numCache>
                <c:formatCode>General</c:formatCode>
                <c:ptCount val="1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</c:numCache>
            </c:numRef>
          </c:xVal>
          <c:yVal>
            <c:numRef>
              <c:f>'Read Noise'!$B$2:$B$12</c:f>
              <c:numCache>
                <c:formatCode>0.00</c:formatCode>
                <c:ptCount val="11"/>
                <c:pt idx="0">
                  <c:v>7.4</c:v>
                </c:pt>
                <c:pt idx="5">
                  <c:v>6.5</c:v>
                </c:pt>
                <c:pt idx="10">
                  <c:v>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DA6-4357-A13D-2BCD26DA1F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3766568"/>
        <c:axId val="583767224"/>
      </c:scatterChart>
      <c:valAx>
        <c:axId val="5837665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767224"/>
        <c:crosses val="autoZero"/>
        <c:crossBetween val="midCat"/>
      </c:valAx>
      <c:valAx>
        <c:axId val="583767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7665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Read Noise Gain 120 to 390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-0.19376202974628171"/>
                  <c:y val="0.12530621172353457"/>
                </c:manualLayout>
              </c:layout>
              <c:numFmt formatCode="0.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'Read Noise'!$A$14:$A$42</c:f>
              <c:numCache>
                <c:formatCode>General</c:formatCode>
                <c:ptCount val="29"/>
                <c:pt idx="0">
                  <c:v>120</c:v>
                </c:pt>
                <c:pt idx="1">
                  <c:v>130</c:v>
                </c:pt>
                <c:pt idx="2">
                  <c:v>140</c:v>
                </c:pt>
                <c:pt idx="3">
                  <c:v>150</c:v>
                </c:pt>
                <c:pt idx="4">
                  <c:v>160</c:v>
                </c:pt>
                <c:pt idx="5">
                  <c:v>170</c:v>
                </c:pt>
                <c:pt idx="6">
                  <c:v>180</c:v>
                </c:pt>
                <c:pt idx="7">
                  <c:v>190</c:v>
                </c:pt>
                <c:pt idx="8">
                  <c:v>200</c:v>
                </c:pt>
                <c:pt idx="9">
                  <c:v>210</c:v>
                </c:pt>
                <c:pt idx="10">
                  <c:v>220</c:v>
                </c:pt>
                <c:pt idx="11">
                  <c:v>230</c:v>
                </c:pt>
                <c:pt idx="12">
                  <c:v>240</c:v>
                </c:pt>
                <c:pt idx="13">
                  <c:v>250</c:v>
                </c:pt>
                <c:pt idx="14">
                  <c:v>260</c:v>
                </c:pt>
                <c:pt idx="15">
                  <c:v>270</c:v>
                </c:pt>
                <c:pt idx="16">
                  <c:v>280</c:v>
                </c:pt>
                <c:pt idx="17">
                  <c:v>290</c:v>
                </c:pt>
                <c:pt idx="18">
                  <c:v>300</c:v>
                </c:pt>
                <c:pt idx="19">
                  <c:v>310</c:v>
                </c:pt>
                <c:pt idx="20">
                  <c:v>320</c:v>
                </c:pt>
                <c:pt idx="21">
                  <c:v>330</c:v>
                </c:pt>
                <c:pt idx="22">
                  <c:v>340</c:v>
                </c:pt>
                <c:pt idx="23">
                  <c:v>350</c:v>
                </c:pt>
                <c:pt idx="24">
                  <c:v>360</c:v>
                </c:pt>
                <c:pt idx="25">
                  <c:v>370</c:v>
                </c:pt>
                <c:pt idx="26">
                  <c:v>380</c:v>
                </c:pt>
                <c:pt idx="27">
                  <c:v>390</c:v>
                </c:pt>
                <c:pt idx="28">
                  <c:v>400</c:v>
                </c:pt>
              </c:numCache>
            </c:numRef>
          </c:xVal>
          <c:yVal>
            <c:numRef>
              <c:f>'Read Noise'!$B$14:$B$42</c:f>
              <c:numCache>
                <c:formatCode>0.00</c:formatCode>
                <c:ptCount val="29"/>
                <c:pt idx="0">
                  <c:v>1.75</c:v>
                </c:pt>
                <c:pt idx="1">
                  <c:v>1.7</c:v>
                </c:pt>
                <c:pt idx="3">
                  <c:v>1.6</c:v>
                </c:pt>
                <c:pt idx="8">
                  <c:v>1.5</c:v>
                </c:pt>
                <c:pt idx="13">
                  <c:v>1.4</c:v>
                </c:pt>
                <c:pt idx="18">
                  <c:v>1.35</c:v>
                </c:pt>
                <c:pt idx="23">
                  <c:v>1.3</c:v>
                </c:pt>
                <c:pt idx="27">
                  <c:v>1.35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7A1-4B58-9B1B-EA76A3D891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411976"/>
        <c:axId val="590412304"/>
      </c:scatterChart>
      <c:valAx>
        <c:axId val="5904119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0412304"/>
        <c:crosses val="autoZero"/>
        <c:crossBetween val="midCat"/>
      </c:valAx>
      <c:valAx>
        <c:axId val="590412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04119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Offset vs. Gain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658092738407699"/>
          <c:y val="0.17171286324635429"/>
          <c:w val="0.80053018372703411"/>
          <c:h val="0.65144320501603969"/>
        </c:manualLayout>
      </c:layout>
      <c:scatterChart>
        <c:scatterStyle val="smoothMarker"/>
        <c:varyColors val="0"/>
        <c:ser>
          <c:idx val="0"/>
          <c:order val="0"/>
          <c:tx>
            <c:strRef>
              <c:f>Offset!$B$1</c:f>
              <c:strCache>
                <c:ptCount val="1"/>
                <c:pt idx="0">
                  <c:v>Offset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Offset!$A$2:$A$42</c:f>
              <c:numCache>
                <c:formatCode>General</c:formatCode>
                <c:ptCount val="4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</c:numCache>
            </c:numRef>
          </c:xVal>
          <c:yVal>
            <c:numRef>
              <c:f>Offset!$B$2:$B$42</c:f>
              <c:numCache>
                <c:formatCode>0</c:formatCode>
                <c:ptCount val="41"/>
                <c:pt idx="0">
                  <c:v>7</c:v>
                </c:pt>
                <c:pt idx="5">
                  <c:v>9</c:v>
                </c:pt>
                <c:pt idx="10">
                  <c:v>13</c:v>
                </c:pt>
                <c:pt idx="12">
                  <c:v>8</c:v>
                </c:pt>
                <c:pt idx="16">
                  <c:v>10</c:v>
                </c:pt>
                <c:pt idx="20">
                  <c:v>12</c:v>
                </c:pt>
                <c:pt idx="25">
                  <c:v>18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41-4AFA-B2B7-880955ADAA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0297423"/>
        <c:axId val="620303247"/>
      </c:scatterChart>
      <c:valAx>
        <c:axId val="620297423"/>
        <c:scaling>
          <c:orientation val="minMax"/>
          <c:max val="4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Gain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0303247"/>
        <c:crosses val="autoZero"/>
        <c:crossBetween val="midCat"/>
      </c:valAx>
      <c:valAx>
        <c:axId val="620303247"/>
        <c:scaling>
          <c:orientation val="minMax"/>
          <c:max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Offset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029742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Offset, Gain 0 to 100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Offset!$L$1</c:f>
              <c:strCache>
                <c:ptCount val="1"/>
                <c:pt idx="0">
                  <c:v>Offset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-0.3097195975503062"/>
                  <c:y val="4.7778871391076116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Offset!$K$2:$K$13</c:f>
              <c:numCache>
                <c:formatCode>General</c:formatCode>
                <c:ptCount val="12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</c:numCache>
            </c:numRef>
          </c:xVal>
          <c:yVal>
            <c:numRef>
              <c:f>Offset!$L$2:$L$13</c:f>
              <c:numCache>
                <c:formatCode>0</c:formatCode>
                <c:ptCount val="12"/>
                <c:pt idx="0">
                  <c:v>7</c:v>
                </c:pt>
                <c:pt idx="5">
                  <c:v>9</c:v>
                </c:pt>
                <c:pt idx="10">
                  <c:v>13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FC0-437E-8A3D-30E07A9E7C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6521256"/>
        <c:axId val="506521584"/>
      </c:scatterChart>
      <c:valAx>
        <c:axId val="5065212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6521584"/>
        <c:crosses val="autoZero"/>
        <c:crossBetween val="midCat"/>
      </c:valAx>
      <c:valAx>
        <c:axId val="506521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65212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Offset, Gain 120 to 250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-0.25325328083989501"/>
                  <c:y val="5.513888888888889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Offset!$K$17:$K$30</c:f>
              <c:numCache>
                <c:formatCode>General</c:formatCode>
                <c:ptCount val="14"/>
                <c:pt idx="0">
                  <c:v>120</c:v>
                </c:pt>
                <c:pt idx="1">
                  <c:v>130</c:v>
                </c:pt>
                <c:pt idx="2">
                  <c:v>140</c:v>
                </c:pt>
                <c:pt idx="3">
                  <c:v>150</c:v>
                </c:pt>
                <c:pt idx="4">
                  <c:v>160</c:v>
                </c:pt>
                <c:pt idx="5">
                  <c:v>170</c:v>
                </c:pt>
                <c:pt idx="6">
                  <c:v>180</c:v>
                </c:pt>
                <c:pt idx="7">
                  <c:v>190</c:v>
                </c:pt>
                <c:pt idx="8">
                  <c:v>200</c:v>
                </c:pt>
                <c:pt idx="9">
                  <c:v>210</c:v>
                </c:pt>
                <c:pt idx="10">
                  <c:v>220</c:v>
                </c:pt>
                <c:pt idx="11">
                  <c:v>230</c:v>
                </c:pt>
                <c:pt idx="12">
                  <c:v>240</c:v>
                </c:pt>
                <c:pt idx="13">
                  <c:v>250</c:v>
                </c:pt>
              </c:numCache>
            </c:numRef>
          </c:xVal>
          <c:yVal>
            <c:numRef>
              <c:f>Offset!$L$17:$L$30</c:f>
              <c:numCache>
                <c:formatCode>0</c:formatCode>
                <c:ptCount val="14"/>
                <c:pt idx="0">
                  <c:v>8</c:v>
                </c:pt>
                <c:pt idx="4">
                  <c:v>10</c:v>
                </c:pt>
                <c:pt idx="8">
                  <c:v>12</c:v>
                </c:pt>
                <c:pt idx="13">
                  <c:v>18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471-4000-8982-EA5FDCD859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6231184"/>
        <c:axId val="646231512"/>
      </c:scatterChart>
      <c:valAx>
        <c:axId val="646231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6231512"/>
        <c:crosses val="autoZero"/>
        <c:crossBetween val="midCat"/>
      </c:valAx>
      <c:valAx>
        <c:axId val="646231512"/>
        <c:scaling>
          <c:orientation val="minMax"/>
          <c:min val="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6231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image" Target="../media/image3.png"/><Relationship Id="rId4" Type="http://schemas.openxmlformats.org/officeDocument/2006/relationships/chart" Target="../charts/chart8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2" Type="http://schemas.openxmlformats.org/officeDocument/2006/relationships/chart" Target="../charts/chart9.xml"/><Relationship Id="rId1" Type="http://schemas.openxmlformats.org/officeDocument/2006/relationships/image" Target="../media/image2.png"/><Relationship Id="rId4" Type="http://schemas.openxmlformats.org/officeDocument/2006/relationships/chart" Target="../charts/chart11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4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123485</xdr:colOff>
      <xdr:row>18</xdr:row>
      <xdr:rowOff>114300</xdr:rowOff>
    </xdr:from>
    <xdr:to>
      <xdr:col>5</xdr:col>
      <xdr:colOff>128962</xdr:colOff>
      <xdr:row>33</xdr:row>
      <xdr:rowOff>95250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 flipH="1">
          <a:off x="4447835" y="3781425"/>
          <a:ext cx="5477" cy="3067050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33</xdr:row>
      <xdr:rowOff>85725</xdr:rowOff>
    </xdr:from>
    <xdr:to>
      <xdr:col>6</xdr:col>
      <xdr:colOff>904875</xdr:colOff>
      <xdr:row>33</xdr:row>
      <xdr:rowOff>85725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62E1357C-BEC6-4B79-B246-B8B9FAE3B8BB}"/>
            </a:ext>
          </a:extLst>
        </xdr:cNvPr>
        <xdr:cNvCxnSpPr/>
      </xdr:nvCxnSpPr>
      <xdr:spPr>
        <a:xfrm>
          <a:off x="4438650" y="6829425"/>
          <a:ext cx="104775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952502</xdr:colOff>
      <xdr:row>5</xdr:row>
      <xdr:rowOff>142875</xdr:rowOff>
    </xdr:from>
    <xdr:to>
      <xdr:col>5</xdr:col>
      <xdr:colOff>142875</xdr:colOff>
      <xdr:row>5</xdr:row>
      <xdr:rowOff>142875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053E63E9-DF3B-4F2F-979C-BA2C6F42BD7A}"/>
            </a:ext>
          </a:extLst>
        </xdr:cNvPr>
        <xdr:cNvCxnSpPr/>
      </xdr:nvCxnSpPr>
      <xdr:spPr>
        <a:xfrm flipH="1">
          <a:off x="3838577" y="1333500"/>
          <a:ext cx="628648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133350</xdr:colOff>
      <xdr:row>18</xdr:row>
      <xdr:rowOff>114300</xdr:rowOff>
    </xdr:from>
    <xdr:to>
      <xdr:col>10</xdr:col>
      <xdr:colOff>409575</xdr:colOff>
      <xdr:row>18</xdr:row>
      <xdr:rowOff>114300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DC13BD9E-40BD-4033-A1A0-7A4BD4C7BF1C}"/>
            </a:ext>
          </a:extLst>
        </xdr:cNvPr>
        <xdr:cNvCxnSpPr/>
      </xdr:nvCxnSpPr>
      <xdr:spPr>
        <a:xfrm>
          <a:off x="4457700" y="3781425"/>
          <a:ext cx="4657725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971550</xdr:colOff>
      <xdr:row>11</xdr:row>
      <xdr:rowOff>85725</xdr:rowOff>
    </xdr:from>
    <xdr:to>
      <xdr:col>5</xdr:col>
      <xdr:colOff>152400</xdr:colOff>
      <xdr:row>11</xdr:row>
      <xdr:rowOff>85725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8EC328BF-DD10-4FFB-AAEB-A16876DA01EA}"/>
            </a:ext>
          </a:extLst>
        </xdr:cNvPr>
        <xdr:cNvCxnSpPr/>
      </xdr:nvCxnSpPr>
      <xdr:spPr>
        <a:xfrm flipH="1">
          <a:off x="3857625" y="2419350"/>
          <a:ext cx="619125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399710</xdr:colOff>
      <xdr:row>18</xdr:row>
      <xdr:rowOff>114300</xdr:rowOff>
    </xdr:from>
    <xdr:to>
      <xdr:col>10</xdr:col>
      <xdr:colOff>399710</xdr:colOff>
      <xdr:row>21</xdr:row>
      <xdr:rowOff>142875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ECC85EB9-0A9A-49DA-8C30-6929B6E07E29}"/>
            </a:ext>
          </a:extLst>
        </xdr:cNvPr>
        <xdr:cNvCxnSpPr/>
      </xdr:nvCxnSpPr>
      <xdr:spPr>
        <a:xfrm>
          <a:off x="9105560" y="3781425"/>
          <a:ext cx="0" cy="685800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125244</xdr:colOff>
      <xdr:row>11</xdr:row>
      <xdr:rowOff>84509</xdr:rowOff>
    </xdr:from>
    <xdr:to>
      <xdr:col>5</xdr:col>
      <xdr:colOff>143170</xdr:colOff>
      <xdr:row>18</xdr:row>
      <xdr:rowOff>113084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17105163-1ED3-4855-9071-7D90BAACCCF5}"/>
            </a:ext>
          </a:extLst>
        </xdr:cNvPr>
        <xdr:cNvCxnSpPr/>
      </xdr:nvCxnSpPr>
      <xdr:spPr>
        <a:xfrm flipV="1">
          <a:off x="4449999" y="2415094"/>
          <a:ext cx="17926" cy="13620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138488</xdr:colOff>
      <xdr:row>5</xdr:row>
      <xdr:rowOff>142875</xdr:rowOff>
    </xdr:from>
    <xdr:to>
      <xdr:col>5</xdr:col>
      <xdr:colOff>138489</xdr:colOff>
      <xdr:row>11</xdr:row>
      <xdr:rowOff>85117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BBCC090C-6C2D-4887-9580-76116CAB2AC1}"/>
            </a:ext>
          </a:extLst>
        </xdr:cNvPr>
        <xdr:cNvCxnSpPr/>
      </xdr:nvCxnSpPr>
      <xdr:spPr>
        <a:xfrm flipH="1">
          <a:off x="4463243" y="1330460"/>
          <a:ext cx="1" cy="1085242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110444</xdr:colOff>
      <xdr:row>13</xdr:row>
      <xdr:rowOff>40140</xdr:rowOff>
    </xdr:from>
    <xdr:to>
      <xdr:col>11</xdr:col>
      <xdr:colOff>521833</xdr:colOff>
      <xdr:row>22</xdr:row>
      <xdr:rowOff>107269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569686</xdr:colOff>
      <xdr:row>13</xdr:row>
      <xdr:rowOff>33564</xdr:rowOff>
    </xdr:from>
    <xdr:to>
      <xdr:col>18</xdr:col>
      <xdr:colOff>349250</xdr:colOff>
      <xdr:row>22</xdr:row>
      <xdr:rowOff>112939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66675</xdr:colOff>
      <xdr:row>5</xdr:row>
      <xdr:rowOff>38100</xdr:rowOff>
    </xdr:from>
    <xdr:to>
      <xdr:col>2</xdr:col>
      <xdr:colOff>2514109</xdr:colOff>
      <xdr:row>5</xdr:row>
      <xdr:rowOff>647624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EFE8CEA-DB25-4E11-B90F-5A078D4C55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71825" y="1123950"/>
          <a:ext cx="3923809" cy="6095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152400</xdr:colOff>
      <xdr:row>4</xdr:row>
      <xdr:rowOff>66675</xdr:rowOff>
    </xdr:from>
    <xdr:to>
      <xdr:col>44</xdr:col>
      <xdr:colOff>395289</xdr:colOff>
      <xdr:row>42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285750</xdr:colOff>
      <xdr:row>10</xdr:row>
      <xdr:rowOff>180975</xdr:rowOff>
    </xdr:from>
    <xdr:to>
      <xdr:col>20</xdr:col>
      <xdr:colOff>151655</xdr:colOff>
      <xdr:row>22</xdr:row>
      <xdr:rowOff>9261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23B81A8-2E56-4080-AE88-6B0C86FF45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81750" y="2085975"/>
          <a:ext cx="5961905" cy="2114286"/>
        </a:xfrm>
        <a:prstGeom prst="rect">
          <a:avLst/>
        </a:prstGeom>
      </xdr:spPr>
    </xdr:pic>
    <xdr:clientData/>
  </xdr:twoCellAnchor>
  <xdr:twoCellAnchor editAs="oneCell">
    <xdr:from>
      <xdr:col>10</xdr:col>
      <xdr:colOff>323850</xdr:colOff>
      <xdr:row>1</xdr:row>
      <xdr:rowOff>38100</xdr:rowOff>
    </xdr:from>
    <xdr:to>
      <xdr:col>20</xdr:col>
      <xdr:colOff>65945</xdr:colOff>
      <xdr:row>10</xdr:row>
      <xdr:rowOff>85505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46EBFE4-2EE9-40BB-8E9D-87ADEBFEA5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19850" y="228600"/>
          <a:ext cx="5838095" cy="1761905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11</xdr:row>
      <xdr:rowOff>19050</xdr:rowOff>
    </xdr:from>
    <xdr:to>
      <xdr:col>9</xdr:col>
      <xdr:colOff>561244</xdr:colOff>
      <xdr:row>19</xdr:row>
      <xdr:rowOff>171240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44BC0B15-E575-40BA-A438-859645CCF5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0025" y="2114550"/>
          <a:ext cx="5847619" cy="1676190"/>
        </a:xfrm>
        <a:prstGeom prst="rect">
          <a:avLst/>
        </a:prstGeom>
      </xdr:spPr>
    </xdr:pic>
    <xdr:clientData/>
  </xdr:twoCellAnchor>
  <xdr:twoCellAnchor editAs="oneCell">
    <xdr:from>
      <xdr:col>0</xdr:col>
      <xdr:colOff>361950</xdr:colOff>
      <xdr:row>1</xdr:row>
      <xdr:rowOff>76200</xdr:rowOff>
    </xdr:from>
    <xdr:to>
      <xdr:col>9</xdr:col>
      <xdr:colOff>608883</xdr:colOff>
      <xdr:row>10</xdr:row>
      <xdr:rowOff>75986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BB17D9BB-3F76-4C7E-91E9-02AC7EC0CA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61950" y="266700"/>
          <a:ext cx="5733333" cy="1714286"/>
        </a:xfrm>
        <a:prstGeom prst="rect">
          <a:avLst/>
        </a:prstGeom>
      </xdr:spPr>
    </xdr:pic>
    <xdr:clientData/>
  </xdr:twoCellAnchor>
  <xdr:twoCellAnchor editAs="oneCell">
    <xdr:from>
      <xdr:col>1</xdr:col>
      <xdr:colOff>171450</xdr:colOff>
      <xdr:row>22</xdr:row>
      <xdr:rowOff>152400</xdr:rowOff>
    </xdr:from>
    <xdr:to>
      <xdr:col>12</xdr:col>
      <xdr:colOff>132517</xdr:colOff>
      <xdr:row>51</xdr:row>
      <xdr:rowOff>189805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64BA40C4-C208-4271-950C-6BCEA59FCA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81050" y="4343400"/>
          <a:ext cx="6666667" cy="556190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3</xdr:row>
      <xdr:rowOff>95250</xdr:rowOff>
    </xdr:from>
    <xdr:to>
      <xdr:col>12</xdr:col>
      <xdr:colOff>294558</xdr:colOff>
      <xdr:row>12</xdr:row>
      <xdr:rowOff>95036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9015B3D-71D3-40A7-A0A4-9F4B7D54BE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76425" y="666750"/>
          <a:ext cx="5733333" cy="1714286"/>
        </a:xfrm>
        <a:prstGeom prst="rect">
          <a:avLst/>
        </a:prstGeom>
      </xdr:spPr>
    </xdr:pic>
    <xdr:clientData/>
  </xdr:twoCellAnchor>
  <xdr:twoCellAnchor>
    <xdr:from>
      <xdr:col>3</xdr:col>
      <xdr:colOff>504826</xdr:colOff>
      <xdr:row>1</xdr:row>
      <xdr:rowOff>133349</xdr:rowOff>
    </xdr:from>
    <xdr:to>
      <xdr:col>12</xdr:col>
      <xdr:colOff>466726</xdr:colOff>
      <xdr:row>13</xdr:row>
      <xdr:rowOff>180974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3CCAA53-0077-4BDB-BC95-CCA4B6F4C1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581025</xdr:colOff>
      <xdr:row>3</xdr:row>
      <xdr:rowOff>19050</xdr:rowOff>
    </xdr:from>
    <xdr:to>
      <xdr:col>12</xdr:col>
      <xdr:colOff>332644</xdr:colOff>
      <xdr:row>11</xdr:row>
      <xdr:rowOff>171240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EEFD8C4-D0EC-40A8-B3D4-128D7A9397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38350" y="590550"/>
          <a:ext cx="5847619" cy="1676190"/>
        </a:xfrm>
        <a:prstGeom prst="rect">
          <a:avLst/>
        </a:prstGeom>
      </xdr:spPr>
    </xdr:pic>
    <xdr:clientData/>
  </xdr:twoCellAnchor>
  <xdr:twoCellAnchor>
    <xdr:from>
      <xdr:col>3</xdr:col>
      <xdr:colOff>528636</xdr:colOff>
      <xdr:row>1</xdr:row>
      <xdr:rowOff>142875</xdr:rowOff>
    </xdr:from>
    <xdr:to>
      <xdr:col>12</xdr:col>
      <xdr:colOff>466725</xdr:colOff>
      <xdr:row>11</xdr:row>
      <xdr:rowOff>180975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75325946-EFDF-4610-B89F-8BCC1961524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3</xdr:row>
      <xdr:rowOff>104775</xdr:rowOff>
    </xdr:from>
    <xdr:to>
      <xdr:col>12</xdr:col>
      <xdr:colOff>408845</xdr:colOff>
      <xdr:row>12</xdr:row>
      <xdr:rowOff>152180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B9ADC6D1-AE18-4B33-8540-DA1132FC71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24075" y="676275"/>
          <a:ext cx="5838095" cy="1761905"/>
        </a:xfrm>
        <a:prstGeom prst="rect">
          <a:avLst/>
        </a:prstGeom>
      </xdr:spPr>
    </xdr:pic>
    <xdr:clientData/>
  </xdr:twoCellAnchor>
  <xdr:twoCellAnchor>
    <xdr:from>
      <xdr:col>3</xdr:col>
      <xdr:colOff>528636</xdr:colOff>
      <xdr:row>1</xdr:row>
      <xdr:rowOff>130969</xdr:rowOff>
    </xdr:from>
    <xdr:to>
      <xdr:col>12</xdr:col>
      <xdr:colOff>535781</xdr:colOff>
      <xdr:row>13</xdr:row>
      <xdr:rowOff>82826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3E58137-0419-466A-B0C8-F3C01277E1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20706</xdr:colOff>
      <xdr:row>1</xdr:row>
      <xdr:rowOff>81998</xdr:rowOff>
    </xdr:from>
    <xdr:to>
      <xdr:col>20</xdr:col>
      <xdr:colOff>302315</xdr:colOff>
      <xdr:row>15</xdr:row>
      <xdr:rowOff>158198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A728360-C659-4D5F-9A83-6D8D1D62FB3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12423</xdr:colOff>
      <xdr:row>14</xdr:row>
      <xdr:rowOff>65432</xdr:rowOff>
    </xdr:from>
    <xdr:to>
      <xdr:col>11</xdr:col>
      <xdr:colOff>294031</xdr:colOff>
      <xdr:row>28</xdr:row>
      <xdr:rowOff>141632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5028981-4DF3-4797-B306-8A4BC11E9F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561975</xdr:colOff>
      <xdr:row>3</xdr:row>
      <xdr:rowOff>104775</xdr:rowOff>
    </xdr:from>
    <xdr:to>
      <xdr:col>12</xdr:col>
      <xdr:colOff>476250</xdr:colOff>
      <xdr:row>14</xdr:row>
      <xdr:rowOff>123561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FD5655F0-1DD9-4D4D-B139-15AE659846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19300" y="676275"/>
          <a:ext cx="6010275" cy="2114286"/>
        </a:xfrm>
        <a:prstGeom prst="rect">
          <a:avLst/>
        </a:prstGeom>
      </xdr:spPr>
    </xdr:pic>
    <xdr:clientData/>
  </xdr:twoCellAnchor>
  <xdr:twoCellAnchor>
    <xdr:from>
      <xdr:col>3</xdr:col>
      <xdr:colOff>528636</xdr:colOff>
      <xdr:row>1</xdr:row>
      <xdr:rowOff>130969</xdr:rowOff>
    </xdr:from>
    <xdr:to>
      <xdr:col>12</xdr:col>
      <xdr:colOff>535781</xdr:colOff>
      <xdr:row>13</xdr:row>
      <xdr:rowOff>82826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BB20084-2E74-4C17-9015-E8535F858B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309562</xdr:colOff>
      <xdr:row>2</xdr:row>
      <xdr:rowOff>38100</xdr:rowOff>
    </xdr:from>
    <xdr:to>
      <xdr:col>21</xdr:col>
      <xdr:colOff>4762</xdr:colOff>
      <xdr:row>16</xdr:row>
      <xdr:rowOff>114300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6C96C8E-A7AC-4B67-BB5E-D6FAFC84EC9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423862</xdr:colOff>
      <xdr:row>17</xdr:row>
      <xdr:rowOff>104775</xdr:rowOff>
    </xdr:from>
    <xdr:to>
      <xdr:col>11</xdr:col>
      <xdr:colOff>119062</xdr:colOff>
      <xdr:row>31</xdr:row>
      <xdr:rowOff>180975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83653E1-F8CC-4454-9783-08894846C8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203200</xdr:colOff>
      <xdr:row>0</xdr:row>
      <xdr:rowOff>120650</xdr:rowOff>
    </xdr:from>
    <xdr:to>
      <xdr:col>9</xdr:col>
      <xdr:colOff>508000</xdr:colOff>
      <xdr:row>15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195262</xdr:colOff>
      <xdr:row>0</xdr:row>
      <xdr:rowOff>0</xdr:rowOff>
    </xdr:from>
    <xdr:to>
      <xdr:col>19</xdr:col>
      <xdr:colOff>500062</xdr:colOff>
      <xdr:row>14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F9AAE0A-0848-455C-AEBE-E1AACEC267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195262</xdr:colOff>
      <xdr:row>16</xdr:row>
      <xdr:rowOff>0</xdr:rowOff>
    </xdr:from>
    <xdr:to>
      <xdr:col>19</xdr:col>
      <xdr:colOff>500062</xdr:colOff>
      <xdr:row>30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9255792-F7DA-491A-BF2D-7E072A556F0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49"/>
  <sheetViews>
    <sheetView tabSelected="1" topLeftCell="A4" zoomScale="85" zoomScaleNormal="85" workbookViewId="0">
      <selection activeCell="B4" sqref="B4:E4"/>
    </sheetView>
  </sheetViews>
  <sheetFormatPr defaultRowHeight="14.5" x14ac:dyDescent="0.35"/>
  <cols>
    <col min="1" max="1" width="2" customWidth="1"/>
    <col min="2" max="2" width="8.54296875" customWidth="1"/>
    <col min="3" max="3" width="21.54296875" customWidth="1"/>
    <col min="4" max="4" width="11.1796875" customWidth="1"/>
    <col min="5" max="5" width="21.54296875" customWidth="1"/>
    <col min="6" max="6" width="3.81640625" customWidth="1"/>
    <col min="7" max="7" width="25" customWidth="1"/>
    <col min="8" max="11" width="12.1796875" customWidth="1"/>
    <col min="12" max="12" width="2.453125" customWidth="1"/>
    <col min="16" max="16" width="16.1796875" customWidth="1"/>
    <col min="17" max="25" width="9.1796875" customWidth="1"/>
  </cols>
  <sheetData>
    <row r="1" spans="2:17" ht="22" customHeight="1" x14ac:dyDescent="0.55000000000000004">
      <c r="B1" s="134" t="s">
        <v>146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</row>
    <row r="2" spans="2:17" ht="22" customHeight="1" x14ac:dyDescent="0.45">
      <c r="B2" s="135" t="s">
        <v>119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2" t="s">
        <v>118</v>
      </c>
    </row>
    <row r="3" spans="2:17" ht="22" customHeight="1" thickBot="1" x14ac:dyDescent="0.4">
      <c r="B3" s="139" t="s">
        <v>120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</row>
    <row r="4" spans="2:17" ht="22" customHeight="1" thickBot="1" x14ac:dyDescent="0.5">
      <c r="B4" s="136" t="s">
        <v>158</v>
      </c>
      <c r="C4" s="137"/>
      <c r="D4" s="137"/>
      <c r="E4" s="138"/>
      <c r="F4" s="12"/>
      <c r="G4" s="136" t="s">
        <v>148</v>
      </c>
      <c r="H4" s="137"/>
      <c r="I4" s="137"/>
      <c r="J4" s="137"/>
      <c r="K4" s="138"/>
      <c r="M4" s="131" t="s">
        <v>145</v>
      </c>
      <c r="N4" s="132"/>
      <c r="O4" s="132"/>
      <c r="P4" s="132"/>
      <c r="Q4" s="133"/>
    </row>
    <row r="5" spans="2:17" ht="15" thickBot="1" x14ac:dyDescent="0.4">
      <c r="B5" s="61" t="s">
        <v>64</v>
      </c>
      <c r="C5" s="2"/>
      <c r="D5" s="62"/>
      <c r="E5" s="3"/>
      <c r="G5" s="128" t="s">
        <v>101</v>
      </c>
      <c r="H5" s="129"/>
      <c r="I5" s="129"/>
      <c r="J5" s="129"/>
      <c r="K5" s="130"/>
      <c r="M5" s="125" t="s">
        <v>147</v>
      </c>
      <c r="N5" s="126"/>
      <c r="O5" s="126"/>
      <c r="P5" s="126"/>
      <c r="Q5" s="127"/>
    </row>
    <row r="6" spans="2:17" x14ac:dyDescent="0.35">
      <c r="B6" s="4"/>
      <c r="C6" s="63" t="s">
        <v>54</v>
      </c>
      <c r="D6" s="157">
        <f>H34</f>
        <v>20.799953665505637</v>
      </c>
      <c r="E6" s="6" t="s">
        <v>55</v>
      </c>
      <c r="G6" s="74" t="s">
        <v>87</v>
      </c>
      <c r="H6" s="2"/>
      <c r="I6" s="2"/>
      <c r="J6" s="2"/>
      <c r="K6" s="3"/>
      <c r="M6" s="1"/>
      <c r="N6" s="2"/>
      <c r="O6" s="2"/>
      <c r="P6" s="123" t="s">
        <v>76</v>
      </c>
      <c r="Q6" s="124"/>
    </row>
    <row r="7" spans="2:17" x14ac:dyDescent="0.35">
      <c r="B7" s="4"/>
      <c r="C7" s="63"/>
      <c r="D7" s="68"/>
      <c r="E7" s="6"/>
      <c r="G7" s="4" t="s">
        <v>88</v>
      </c>
      <c r="H7" s="69">
        <v>1037</v>
      </c>
      <c r="I7" s="71" t="s">
        <v>89</v>
      </c>
      <c r="J7" s="5"/>
      <c r="K7" s="6"/>
      <c r="M7" s="52" t="s">
        <v>72</v>
      </c>
      <c r="N7" s="46" t="s">
        <v>73</v>
      </c>
      <c r="O7" s="46" t="s">
        <v>74</v>
      </c>
      <c r="P7" s="46" t="s">
        <v>80</v>
      </c>
      <c r="Q7" s="53" t="s">
        <v>75</v>
      </c>
    </row>
    <row r="8" spans="2:17" x14ac:dyDescent="0.35">
      <c r="B8" s="4"/>
      <c r="C8" s="63" t="s">
        <v>56</v>
      </c>
      <c r="D8" s="14">
        <v>0.115</v>
      </c>
      <c r="E8" s="6" t="s">
        <v>10</v>
      </c>
      <c r="G8" s="4" t="s">
        <v>90</v>
      </c>
      <c r="H8" s="69">
        <v>805</v>
      </c>
      <c r="I8" s="71" t="s">
        <v>91</v>
      </c>
      <c r="J8" s="5"/>
      <c r="K8" s="6"/>
      <c r="M8" s="52"/>
      <c r="N8" s="97" t="s">
        <v>116</v>
      </c>
      <c r="O8" s="97"/>
      <c r="P8" s="97"/>
      <c r="Q8" s="53"/>
    </row>
    <row r="9" spans="2:17" x14ac:dyDescent="0.35">
      <c r="B9" s="4"/>
      <c r="C9" s="63" t="s">
        <v>57</v>
      </c>
      <c r="D9" s="14">
        <v>0.80500000000000005</v>
      </c>
      <c r="E9" s="6" t="s">
        <v>10</v>
      </c>
      <c r="G9" s="4" t="s">
        <v>92</v>
      </c>
      <c r="H9" s="69">
        <v>800</v>
      </c>
      <c r="I9" s="71" t="s">
        <v>93</v>
      </c>
      <c r="J9" s="5"/>
      <c r="K9" s="6"/>
      <c r="M9" s="11">
        <v>0</v>
      </c>
      <c r="N9" s="83">
        <f>LOOKUP(M9,'ASI294-specs-DR-SNR'!$A$5:$A$45,'ASI294-specs-DR-SNR'!$O$5:$O$45)</f>
        <v>21.127152480438003</v>
      </c>
      <c r="O9" s="54">
        <f>$D$21/N9</f>
        <v>11.359789267494527</v>
      </c>
      <c r="P9" s="55">
        <f>LOOKUP(M9,'ASI294-specs-DR-SNR'!$A$5:$A$45,'ASI294-specs-DR-SNR'!$AC$5:$AC$45)</f>
        <v>13.054592849198791</v>
      </c>
      <c r="Q9" s="56">
        <f>LOOKUP(M9,'ASI294-specs-DR-SNR'!$A$5:$A$45,'ASI294-specs-DR-SNR'!$AE$5:$AE$45)</f>
        <v>21.667738653716736</v>
      </c>
    </row>
    <row r="10" spans="2:17" ht="15" thickBot="1" x14ac:dyDescent="0.4">
      <c r="B10" s="4"/>
      <c r="C10" s="63" t="s">
        <v>115</v>
      </c>
      <c r="D10" s="99">
        <f>D9/D8</f>
        <v>7</v>
      </c>
      <c r="E10" s="6"/>
      <c r="G10" s="7" t="s">
        <v>117</v>
      </c>
      <c r="H10" s="102">
        <v>120</v>
      </c>
      <c r="I10" s="75" t="s">
        <v>100</v>
      </c>
      <c r="J10" s="8"/>
      <c r="K10" s="9"/>
      <c r="M10" s="11">
        <f>M9+10</f>
        <v>10</v>
      </c>
      <c r="N10" s="83">
        <f>LOOKUP(M10,'ASI294-specs-DR-SNR'!$A$5:$A$45,'ASI294-specs-DR-SNR'!$O$5:$O$45)</f>
        <v>19.933963749949665</v>
      </c>
      <c r="O10" s="54">
        <f t="shared" ref="O10:O49" si="0">$D$21/N10</f>
        <v>12.039753007005745</v>
      </c>
      <c r="P10" s="55">
        <f>LOOKUP(M10,'ASI294-specs-DR-SNR'!$A$5:$A$45,'ASI294-specs-DR-SNR'!$AC$5:$AC$45)</f>
        <v>12.964389126502015</v>
      </c>
      <c r="Q10" s="56">
        <f>LOOKUP(M10,'ASI294-specs-DR-SNR'!$A$5:$A$45,'ASI294-specs-DR-SNR'!$AE$5:$AE$45)</f>
        <v>21.667738653716736</v>
      </c>
    </row>
    <row r="11" spans="2:17" ht="15" thickBot="1" x14ac:dyDescent="0.4">
      <c r="B11" s="4"/>
      <c r="C11" s="63" t="s">
        <v>58</v>
      </c>
      <c r="D11" s="14">
        <v>4.63</v>
      </c>
      <c r="E11" s="6" t="s">
        <v>59</v>
      </c>
      <c r="G11" s="4"/>
      <c r="H11" s="72"/>
      <c r="I11" s="71"/>
      <c r="J11" s="5"/>
      <c r="K11" s="6"/>
      <c r="M11" s="11">
        <f t="shared" ref="M11:M49" si="1">M10+10</f>
        <v>20</v>
      </c>
      <c r="N11" s="83">
        <f>LOOKUP(M11,'ASI294-specs-DR-SNR'!$A$5:$A$45,'ASI294-specs-DR-SNR'!$O$5:$O$45)</f>
        <v>18.861679740712418</v>
      </c>
      <c r="O11" s="54">
        <f t="shared" si="0"/>
        <v>12.724211379857467</v>
      </c>
      <c r="P11" s="55">
        <f>LOOKUP(M11,'ASI294-specs-DR-SNR'!$A$5:$A$45,'ASI294-specs-DR-SNR'!$AC$5:$AC$45)</f>
        <v>12.869960538815944</v>
      </c>
      <c r="Q11" s="56">
        <f>LOOKUP(M11,'ASI294-specs-DR-SNR'!$A$5:$A$45,'ASI294-specs-DR-SNR'!$AE$5:$AE$45)</f>
        <v>21.667738653716736</v>
      </c>
    </row>
    <row r="12" spans="2:17" x14ac:dyDescent="0.35">
      <c r="B12" s="4"/>
      <c r="C12" s="63" t="s">
        <v>77</v>
      </c>
      <c r="D12" s="110">
        <f>K24</f>
        <v>9.3100763333333284E-3</v>
      </c>
      <c r="E12" s="6" t="s">
        <v>1</v>
      </c>
      <c r="G12" s="103" t="s">
        <v>107</v>
      </c>
      <c r="H12" s="104"/>
      <c r="I12" s="105"/>
      <c r="J12" s="2"/>
      <c r="K12" s="3"/>
      <c r="M12" s="11">
        <f t="shared" si="1"/>
        <v>30</v>
      </c>
      <c r="N12" s="83">
        <f>LOOKUP(M12,'ASI294-specs-DR-SNR'!$A$5:$A$45,'ASI294-specs-DR-SNR'!$O$5:$O$45)</f>
        <v>17.903040984116469</v>
      </c>
      <c r="O12" s="54">
        <f t="shared" si="0"/>
        <v>13.405543796326411</v>
      </c>
      <c r="P12" s="55">
        <f>LOOKUP(M12,'ASI294-specs-DR-SNR'!$A$5:$A$45,'ASI294-specs-DR-SNR'!$AC$5:$AC$45)</f>
        <v>12.77087316873148</v>
      </c>
      <c r="Q12" s="56">
        <f>LOOKUP(M12,'ASI294-specs-DR-SNR'!$A$5:$A$45,'ASI294-specs-DR-SNR'!$AE$5:$AE$45)</f>
        <v>21.667738653716739</v>
      </c>
    </row>
    <row r="13" spans="2:17" ht="15" thickBot="1" x14ac:dyDescent="0.4">
      <c r="B13" s="11" t="s">
        <v>121</v>
      </c>
      <c r="C13" s="63"/>
      <c r="D13" s="68"/>
      <c r="E13" s="6"/>
      <c r="G13" s="4" t="s">
        <v>88</v>
      </c>
      <c r="H13" s="106">
        <f>H7*(2^14/2^16)</f>
        <v>259.25</v>
      </c>
      <c r="I13" s="71" t="s">
        <v>89</v>
      </c>
      <c r="J13" s="5"/>
      <c r="K13" s="6"/>
      <c r="M13" s="11">
        <f t="shared" si="1"/>
        <v>40</v>
      </c>
      <c r="N13" s="83">
        <f>LOOKUP(M13,'ASI294-specs-DR-SNR'!$A$5:$A$45,'ASI294-specs-DR-SNR'!$O$5:$O$45)</f>
        <v>17.051380621234479</v>
      </c>
      <c r="O13" s="54">
        <f t="shared" si="0"/>
        <v>14.075106604630152</v>
      </c>
      <c r="P13" s="55">
        <f>LOOKUP(M13,'ASI294-specs-DR-SNR'!$A$5:$A$45,'ASI294-specs-DR-SNR'!$AC$5:$AC$45)</f>
        <v>12.666687358487106</v>
      </c>
      <c r="Q13" s="56">
        <f>LOOKUP(M13,'ASI294-specs-DR-SNR'!$A$5:$A$45,'ASI294-specs-DR-SNR'!$AE$5:$AE$45)</f>
        <v>21.667738653716736</v>
      </c>
    </row>
    <row r="14" spans="2:17" ht="15" thickBot="1" x14ac:dyDescent="0.4">
      <c r="B14" s="100" t="s">
        <v>126</v>
      </c>
      <c r="C14" s="63" t="s">
        <v>69</v>
      </c>
      <c r="D14" s="111">
        <f>LOOKUP(B14,Filters!A2:C23,Filters!B2:B23)</f>
        <v>550</v>
      </c>
      <c r="E14" s="6" t="s">
        <v>60</v>
      </c>
      <c r="G14" s="4" t="s">
        <v>90</v>
      </c>
      <c r="H14" s="106">
        <f>H8*(2^14/2^16)</f>
        <v>201.25</v>
      </c>
      <c r="I14" s="71" t="s">
        <v>91</v>
      </c>
      <c r="J14" s="5"/>
      <c r="K14" s="6"/>
      <c r="M14" s="11">
        <f t="shared" si="1"/>
        <v>50</v>
      </c>
      <c r="N14" s="83">
        <f>LOOKUP(M14,'ASI294-specs-DR-SNR'!$A$5:$A$45,'ASI294-specs-DR-SNR'!$O$5:$O$45)</f>
        <v>16.300624402821505</v>
      </c>
      <c r="O14" s="54">
        <f t="shared" si="0"/>
        <v>14.72336237368048</v>
      </c>
      <c r="P14" s="55">
        <f>LOOKUP(M14,'ASI294-specs-DR-SNR'!$A$5:$A$45,'ASI294-specs-DR-SNR'!$AC$5:$AC$45)</f>
        <v>12.556962787691592</v>
      </c>
      <c r="Q14" s="56">
        <f>LOOKUP(M14,'ASI294-specs-DR-SNR'!$A$5:$A$45,'ASI294-specs-DR-SNR'!$AE$5:$AE$45)</f>
        <v>21.667738653716739</v>
      </c>
    </row>
    <row r="15" spans="2:17" ht="15" thickBot="1" x14ac:dyDescent="0.4">
      <c r="B15" s="4"/>
      <c r="C15" s="63" t="s">
        <v>61</v>
      </c>
      <c r="D15" s="111">
        <f>LOOKUP(B14,Filters!A2:C23,Filters!C2:C23)</f>
        <v>100</v>
      </c>
      <c r="E15" s="6" t="s">
        <v>60</v>
      </c>
      <c r="G15" s="7" t="s">
        <v>92</v>
      </c>
      <c r="H15" s="107">
        <f>H9*(2^14/2^16)</f>
        <v>200</v>
      </c>
      <c r="I15" s="75" t="s">
        <v>93</v>
      </c>
      <c r="J15" s="8"/>
      <c r="K15" s="9"/>
      <c r="M15" s="11">
        <f t="shared" si="1"/>
        <v>60</v>
      </c>
      <c r="N15" s="83">
        <f>LOOKUP(M15,'ASI294-specs-DR-SNR'!$A$5:$A$45,'ASI294-specs-DR-SNR'!$O$5:$O$45)</f>
        <v>15.645290689315068</v>
      </c>
      <c r="O15" s="54">
        <f t="shared" si="0"/>
        <v>15.340079309865921</v>
      </c>
      <c r="P15" s="55">
        <f>LOOKUP(M15,'ASI294-specs-DR-SNR'!$A$5:$A$45,'ASI294-specs-DR-SNR'!$AC$5:$AC$45)</f>
        <v>12.441264071023642</v>
      </c>
      <c r="Q15" s="56">
        <f>LOOKUP(M15,'ASI294-specs-DR-SNR'!$A$5:$A$45,'ASI294-specs-DR-SNR'!$AE$5:$AE$45)</f>
        <v>21.667738653716736</v>
      </c>
    </row>
    <row r="16" spans="2:17" x14ac:dyDescent="0.35">
      <c r="B16" s="4"/>
      <c r="C16" s="63"/>
      <c r="D16" s="10"/>
      <c r="E16" s="6"/>
      <c r="G16" s="4"/>
      <c r="H16" s="72"/>
      <c r="I16" s="71"/>
      <c r="J16" s="5"/>
      <c r="K16" s="6"/>
      <c r="M16" s="11">
        <f t="shared" si="1"/>
        <v>70</v>
      </c>
      <c r="N16" s="83">
        <f>LOOKUP(M16,'ASI294-specs-DR-SNR'!$A$5:$A$45,'ASI294-specs-DR-SNR'!$O$5:$O$45)</f>
        <v>15.080490450835109</v>
      </c>
      <c r="O16" s="54">
        <f t="shared" si="0"/>
        <v>15.914601768585687</v>
      </c>
      <c r="P16" s="55">
        <f>LOOKUP(M16,'ASI294-specs-DR-SNR'!$A$5:$A$45,'ASI294-specs-DR-SNR'!$AC$5:$AC$45)</f>
        <v>12.319166697330191</v>
      </c>
      <c r="Q16" s="56">
        <f>LOOKUP(M16,'ASI294-specs-DR-SNR'!$A$5:$A$45,'ASI294-specs-DR-SNR'!$AE$5:$AE$45)</f>
        <v>21.667738653716739</v>
      </c>
    </row>
    <row r="17" spans="2:18" ht="15" thickBot="1" x14ac:dyDescent="0.4">
      <c r="B17" s="4"/>
      <c r="C17" s="63" t="s">
        <v>79</v>
      </c>
      <c r="D17" s="14">
        <v>0.6</v>
      </c>
      <c r="E17" s="6" t="s">
        <v>78</v>
      </c>
      <c r="G17" s="70" t="s">
        <v>149</v>
      </c>
      <c r="H17" s="5"/>
      <c r="I17" s="5"/>
      <c r="J17" s="5"/>
      <c r="K17" s="6"/>
      <c r="M17" s="11">
        <f t="shared" si="1"/>
        <v>80</v>
      </c>
      <c r="N17" s="83">
        <f>LOOKUP(M17,'ASI294-specs-DR-SNR'!$A$5:$A$45,'ASI294-specs-DR-SNR'!$O$5:$O$45)</f>
        <v>14.60192726718399</v>
      </c>
      <c r="O17" s="54">
        <f t="shared" si="0"/>
        <v>16.436186512130494</v>
      </c>
      <c r="P17" s="55">
        <f>LOOKUP(M17,'ASI294-specs-DR-SNR'!$A$5:$A$45,'ASI294-specs-DR-SNR'!$AC$5:$AC$45)</f>
        <v>12.190263067760107</v>
      </c>
      <c r="Q17" s="56">
        <f>LOOKUP(M17,'ASI294-specs-DR-SNR'!$A$5:$A$45,'ASI294-specs-DR-SNR'!$AE$5:$AE$45)</f>
        <v>21.667738653716736</v>
      </c>
    </row>
    <row r="18" spans="2:18" ht="16" thickBot="1" x14ac:dyDescent="0.4">
      <c r="B18" s="4"/>
      <c r="C18" s="63"/>
      <c r="D18" s="68"/>
      <c r="E18" s="6"/>
      <c r="G18" s="4" t="s">
        <v>72</v>
      </c>
      <c r="H18" s="109">
        <v>120</v>
      </c>
      <c r="I18" s="5"/>
      <c r="J18" s="5"/>
      <c r="K18" s="6"/>
      <c r="M18" s="11">
        <f t="shared" si="1"/>
        <v>90</v>
      </c>
      <c r="N18" s="83">
        <f>LOOKUP(M18,'ASI294-specs-DR-SNR'!$A$5:$A$45,'ASI294-specs-DR-SNR'!$O$5:$O$45)</f>
        <v>14.205897327846516</v>
      </c>
      <c r="O18" s="54">
        <f t="shared" si="0"/>
        <v>16.894392128932964</v>
      </c>
      <c r="P18" s="55">
        <f>LOOKUP(M18,'ASI294-specs-DR-SNR'!$A$5:$A$45,'ASI294-specs-DR-SNR'!$AC$5:$AC$45)</f>
        <v>12.054168327884659</v>
      </c>
      <c r="Q18" s="56">
        <f>LOOKUP(M18,'ASI294-specs-DR-SNR'!$A$5:$A$45,'ASI294-specs-DR-SNR'!$AE$5:$AE$45)</f>
        <v>21.667738653716739</v>
      </c>
    </row>
    <row r="19" spans="2:18" ht="16.5" x14ac:dyDescent="0.35">
      <c r="B19" s="4"/>
      <c r="C19" s="63" t="s">
        <v>62</v>
      </c>
      <c r="D19" s="14">
        <v>10</v>
      </c>
      <c r="E19" s="6" t="s">
        <v>63</v>
      </c>
      <c r="G19" s="4"/>
      <c r="H19" s="5"/>
      <c r="I19" s="5"/>
      <c r="J19" s="5"/>
      <c r="K19" s="6"/>
      <c r="M19" s="11">
        <f t="shared" si="1"/>
        <v>100</v>
      </c>
      <c r="N19" s="83">
        <f>LOOKUP(M19,'ASI294-specs-DR-SNR'!$A$5:$A$45,'ASI294-specs-DR-SNR'!$O$5:$O$45)</f>
        <v>13.889289431989926</v>
      </c>
      <c r="O19" s="54">
        <f t="shared" si="0"/>
        <v>17.279501674666669</v>
      </c>
      <c r="P19" s="55">
        <f>LOOKUP(M19,'ASI294-specs-DR-SNR'!$A$5:$A$45,'ASI294-specs-DR-SNR'!$AC$5:$AC$45)</f>
        <v>11.910525631902907</v>
      </c>
      <c r="Q19" s="56">
        <f>LOOKUP(M19,'ASI294-specs-DR-SNR'!$A$5:$A$45,'ASI294-specs-DR-SNR'!$AE$5:$AE$45)</f>
        <v>21.667738653716736</v>
      </c>
    </row>
    <row r="20" spans="2:18" ht="17.25" customHeight="1" x14ac:dyDescent="0.35">
      <c r="B20" s="4"/>
      <c r="C20" s="63"/>
      <c r="D20" s="10"/>
      <c r="E20" s="6"/>
      <c r="G20" s="4" t="s">
        <v>72</v>
      </c>
      <c r="H20" s="79">
        <f>LOOKUP(H18,'ASI294-specs-DR-SNR'!A5:A45,'ASI294-specs-DR-SNR'!B5:B45)</f>
        <v>0.89376732799999958</v>
      </c>
      <c r="I20" s="71" t="s">
        <v>94</v>
      </c>
      <c r="J20" s="5"/>
      <c r="K20" s="6"/>
      <c r="M20" s="11">
        <f t="shared" si="1"/>
        <v>110</v>
      </c>
      <c r="N20" s="83">
        <f>LOOKUP(M20,'ASI294-specs-DR-SNR'!$A$5:$A$45,'ASI294-specs-DR-SNR'!$O$5:$O$45)</f>
        <v>13.649584988463879</v>
      </c>
      <c r="O20" s="54">
        <f t="shared" si="0"/>
        <v>17.582952170548708</v>
      </c>
      <c r="P20" s="55">
        <f>LOOKUP(M20,'ASI294-specs-DR-SNR'!$A$5:$A$45,'ASI294-specs-DR-SNR'!$AC$5:$AC$45)</f>
        <v>11.759010430482627</v>
      </c>
      <c r="Q20" s="56">
        <f>LOOKUP(M20,'ASI294-specs-DR-SNR'!$A$5:$A$45,'ASI294-specs-DR-SNR'!$AE$5:$AE$45)</f>
        <v>21.667738653716739</v>
      </c>
    </row>
    <row r="21" spans="2:18" ht="17.25" customHeight="1" thickBot="1" x14ac:dyDescent="0.4">
      <c r="B21" s="7"/>
      <c r="C21" s="64" t="s">
        <v>67</v>
      </c>
      <c r="D21" s="108">
        <v>240</v>
      </c>
      <c r="E21" s="9" t="s">
        <v>68</v>
      </c>
      <c r="G21" s="7" t="s">
        <v>29</v>
      </c>
      <c r="H21" s="81">
        <f>LOOKUP(H18,'ASI294-specs-DR-SNR'!A5:A45,'ASI294-specs-DR-SNR'!E5:E45)</f>
        <v>1.7339921600000001</v>
      </c>
      <c r="I21" s="75" t="s">
        <v>95</v>
      </c>
      <c r="J21" s="8"/>
      <c r="K21" s="9"/>
      <c r="M21" s="11">
        <f t="shared" si="1"/>
        <v>120</v>
      </c>
      <c r="N21" s="83">
        <f>LOOKUP(M21,'ASI294-specs-DR-SNR'!$A$5:$A$45,'ASI294-specs-DR-SNR'!$O$5:$O$45)</f>
        <v>1.1600368527408034</v>
      </c>
      <c r="O21" s="54">
        <f t="shared" si="0"/>
        <v>206.88997891140721</v>
      </c>
      <c r="P21" s="55">
        <f>LOOKUP(M21,'ASI294-specs-DR-SNR'!$A$5:$A$45,'ASI294-specs-DR-SNR'!$AC$5:$AC$45)</f>
        <v>15.173591930821855</v>
      </c>
      <c r="Q21" s="56">
        <f>LOOKUP(M21,'ASI294-specs-DR-SNR'!$A$5:$A$45,'ASI294-specs-DR-SNR'!$AE$5:$AE$45)</f>
        <v>21.667738653716739</v>
      </c>
    </row>
    <row r="22" spans="2:18" ht="15" thickBot="1" x14ac:dyDescent="0.4">
      <c r="C22" s="13"/>
      <c r="G22" s="5"/>
      <c r="H22" s="72"/>
      <c r="I22" s="71"/>
      <c r="J22" s="5"/>
      <c r="K22" s="5"/>
      <c r="M22" s="11">
        <f t="shared" si="1"/>
        <v>130</v>
      </c>
      <c r="N22" s="83">
        <f>LOOKUP(M22,'ASI294-specs-DR-SNR'!$A$5:$A$45,'ASI294-specs-DR-SNR'!$O$5:$O$45)</f>
        <v>1.1123002438693608</v>
      </c>
      <c r="O22" s="54">
        <f t="shared" si="0"/>
        <v>215.76907972717115</v>
      </c>
      <c r="P22" s="55">
        <f>LOOKUP(M22,'ASI294-specs-DR-SNR'!$A$5:$A$45,'ASI294-specs-DR-SNR'!$AC$5:$AC$45)</f>
        <v>15.060656644464348</v>
      </c>
      <c r="Q22" s="56">
        <f>LOOKUP(M22,'ASI294-specs-DR-SNR'!$A$5:$A$45,'ASI294-specs-DR-SNR'!$AE$5:$AE$45)</f>
        <v>21.667738653716739</v>
      </c>
    </row>
    <row r="23" spans="2:18" x14ac:dyDescent="0.35">
      <c r="B23" s="61" t="s">
        <v>65</v>
      </c>
      <c r="C23" s="65"/>
      <c r="D23" s="2"/>
      <c r="E23" s="3"/>
      <c r="G23" s="61" t="s">
        <v>65</v>
      </c>
      <c r="H23" s="77" t="s">
        <v>96</v>
      </c>
      <c r="I23" s="77" t="s">
        <v>97</v>
      </c>
      <c r="J23" s="77" t="s">
        <v>99</v>
      </c>
      <c r="K23" s="76" t="s">
        <v>1</v>
      </c>
      <c r="M23" s="11">
        <f t="shared" si="1"/>
        <v>140</v>
      </c>
      <c r="N23" s="83">
        <f>LOOKUP(M23,'ASI294-specs-DR-SNR'!$A$5:$A$45,'ASI294-specs-DR-SNR'!$O$5:$O$45)</f>
        <v>1.0676864493504543</v>
      </c>
      <c r="O23" s="54">
        <f t="shared" si="0"/>
        <v>224.78509504921431</v>
      </c>
      <c r="P23" s="55">
        <f>LOOKUP(M23,'ASI294-specs-DR-SNR'!$A$5:$A$45,'ASI294-specs-DR-SNR'!$AC$5:$AC$45)</f>
        <v>14.946113416773644</v>
      </c>
      <c r="Q23" s="56">
        <f>LOOKUP(M23,'ASI294-specs-DR-SNR'!$A$5:$A$45,'ASI294-specs-DR-SNR'!$AE$5:$AE$45)</f>
        <v>21.667738653716739</v>
      </c>
    </row>
    <row r="24" spans="2:18" x14ac:dyDescent="0.35">
      <c r="B24" s="4"/>
      <c r="C24" s="63" t="s">
        <v>19</v>
      </c>
      <c r="D24" s="49">
        <f>(D11/D9)*0.0036*180/PI()</f>
        <v>1.1863429228870261</v>
      </c>
      <c r="E24" s="6" t="s">
        <v>8</v>
      </c>
      <c r="G24" s="4" t="s">
        <v>90</v>
      </c>
      <c r="H24" s="79">
        <f>H14-H15</f>
        <v>1.25</v>
      </c>
      <c r="I24" s="79">
        <f>H24*H20</f>
        <v>1.1172091599999994</v>
      </c>
      <c r="J24" s="79">
        <f>H24/H10</f>
        <v>1.0416666666666666E-2</v>
      </c>
      <c r="K24" s="82">
        <f>I24/H10</f>
        <v>9.3100763333333284E-3</v>
      </c>
      <c r="L24" s="5"/>
      <c r="M24" s="11">
        <f t="shared" si="1"/>
        <v>150</v>
      </c>
      <c r="N24" s="83">
        <f>LOOKUP(M24,'ASI294-specs-DR-SNR'!$A$5:$A$45,'ASI294-specs-DR-SNR'!$O$5:$O$45)</f>
        <v>1.0260638941038027</v>
      </c>
      <c r="O24" s="54">
        <f t="shared" si="0"/>
        <v>233.90356232115909</v>
      </c>
      <c r="P24" s="55">
        <f>LOOKUP(M24,'ASI294-specs-DR-SNR'!$A$5:$A$45,'ASI294-specs-DR-SNR'!$AC$5:$AC$45)</f>
        <v>14.829830279613631</v>
      </c>
      <c r="Q24" s="56">
        <f>LOOKUP(M24,'ASI294-specs-DR-SNR'!$A$5:$A$45,'ASI294-specs-DR-SNR'!$AE$5:$AE$45)</f>
        <v>21.667738653716736</v>
      </c>
    </row>
    <row r="25" spans="2:18" x14ac:dyDescent="0.35">
      <c r="B25" s="4"/>
      <c r="C25" s="63"/>
      <c r="D25" s="5"/>
      <c r="E25" s="6"/>
      <c r="G25" s="4" t="s">
        <v>98</v>
      </c>
      <c r="H25" s="79">
        <f>H13-H14</f>
        <v>58</v>
      </c>
      <c r="I25" s="79">
        <f>H25*H20</f>
        <v>51.838505023999979</v>
      </c>
      <c r="J25" s="79">
        <f>H25/H10</f>
        <v>0.48333333333333334</v>
      </c>
      <c r="K25" s="78">
        <f>I25/H10</f>
        <v>0.43198754186666649</v>
      </c>
      <c r="L25" s="5"/>
      <c r="M25" s="11">
        <f t="shared" si="1"/>
        <v>160</v>
      </c>
      <c r="N25" s="83">
        <f>LOOKUP(M25,'ASI294-specs-DR-SNR'!$A$5:$A$45,'ASI294-specs-DR-SNR'!$O$5:$O$45)</f>
        <v>0.98730732274340727</v>
      </c>
      <c r="O25" s="54">
        <f t="shared" si="0"/>
        <v>243.08540458620092</v>
      </c>
      <c r="P25" s="55">
        <f>LOOKUP(M25,'ASI294-specs-DR-SNR'!$A$5:$A$45,'ASI294-specs-DR-SNR'!$AC$5:$AC$45)</f>
        <v>14.711671448843909</v>
      </c>
      <c r="Q25" s="56">
        <f>LOOKUP(M25,'ASI294-specs-DR-SNR'!$A$5:$A$45,'ASI294-specs-DR-SNR'!$AE$5:$AE$45)</f>
        <v>21.667738653716739</v>
      </c>
    </row>
    <row r="26" spans="2:18" ht="16.5" x14ac:dyDescent="0.35">
      <c r="B26" s="4"/>
      <c r="C26" s="63" t="s">
        <v>150</v>
      </c>
      <c r="D26" s="48">
        <f xml:space="preserve"> (-0.00000045063*D14^2 + 0.000090632*D14 + 0.62647)*10^(-0.4*(D6-20.7))</f>
        <v>0.49250871775355604</v>
      </c>
      <c r="E26" s="6" t="s">
        <v>109</v>
      </c>
      <c r="G26" s="4"/>
      <c r="H26" s="5"/>
      <c r="I26" s="5"/>
      <c r="J26" s="5"/>
      <c r="K26" s="6"/>
      <c r="L26" s="5"/>
      <c r="M26" s="11">
        <f t="shared" si="1"/>
        <v>170</v>
      </c>
      <c r="N26" s="83">
        <f>LOOKUP(M26,'ASI294-specs-DR-SNR'!$A$5:$A$45,'ASI294-specs-DR-SNR'!$O$5:$O$45)</f>
        <v>0.95129779957755112</v>
      </c>
      <c r="O26" s="54">
        <f t="shared" si="0"/>
        <v>252.28692855862627</v>
      </c>
      <c r="P26" s="55">
        <f>LOOKUP(M26,'ASI294-specs-DR-SNR'!$A$5:$A$45,'ASI294-specs-DR-SNR'!$AC$5:$AC$45)</f>
        <v>14.591497825785858</v>
      </c>
      <c r="Q26" s="56">
        <f>LOOKUP(M26,'ASI294-specs-DR-SNR'!$A$5:$A$45,'ASI294-specs-DR-SNR'!$AE$5:$AE$45)</f>
        <v>21.667738653716736</v>
      </c>
    </row>
    <row r="27" spans="2:18" x14ac:dyDescent="0.35">
      <c r="B27" s="4"/>
      <c r="C27" s="63" t="s">
        <v>151</v>
      </c>
      <c r="D27" s="48">
        <f>D17*D26*D15*D24^2*(PI()*D8^2/4)</f>
        <v>0.43198754186666688</v>
      </c>
      <c r="E27" s="6" t="s">
        <v>66</v>
      </c>
      <c r="G27" s="73" t="s">
        <v>83</v>
      </c>
      <c r="H27" s="48">
        <f>K25</f>
        <v>0.43198754186666649</v>
      </c>
      <c r="I27" s="5" t="s">
        <v>66</v>
      </c>
      <c r="J27" s="5"/>
      <c r="K27" s="6"/>
      <c r="L27" s="5"/>
      <c r="M27" s="11">
        <f t="shared" si="1"/>
        <v>180</v>
      </c>
      <c r="N27" s="83">
        <f>LOOKUP(M27,'ASI294-specs-DR-SNR'!$A$5:$A$45,'ASI294-specs-DR-SNR'!$O$5:$O$45)</f>
        <v>0.9179227086088001</v>
      </c>
      <c r="O27" s="54">
        <f t="shared" si="0"/>
        <v>261.45992222345495</v>
      </c>
      <c r="P27" s="55">
        <f>LOOKUP(M27,'ASI294-specs-DR-SNR'!$A$5:$A$45,'ASI294-specs-DR-SNR'!$AC$5:$AC$45)</f>
        <v>14.469167610397857</v>
      </c>
      <c r="Q27" s="56">
        <f>LOOKUP(M27,'ASI294-specs-DR-SNR'!$A$5:$A$45,'ASI294-specs-DR-SNR'!$AE$5:$AE$45)</f>
        <v>21.667738653716736</v>
      </c>
    </row>
    <row r="28" spans="2:18" x14ac:dyDescent="0.35">
      <c r="B28" s="4"/>
      <c r="C28" s="63" t="s">
        <v>152</v>
      </c>
      <c r="D28" s="48">
        <f>D27/D17</f>
        <v>0.71997923644444484</v>
      </c>
      <c r="E28" s="6" t="s">
        <v>66</v>
      </c>
      <c r="G28" s="73"/>
      <c r="H28" s="5"/>
      <c r="I28" s="5"/>
      <c r="J28" s="5"/>
      <c r="K28" s="6"/>
      <c r="L28" s="5"/>
      <c r="M28" s="11">
        <f t="shared" si="1"/>
        <v>190</v>
      </c>
      <c r="N28" s="83">
        <f>LOOKUP(M28,'ASI294-specs-DR-SNR'!$A$5:$A$45,'ASI294-specs-DR-SNR'!$O$5:$O$45)</f>
        <v>0.88707575353400325</v>
      </c>
      <c r="O28" s="54">
        <f t="shared" si="0"/>
        <v>270.55186554684741</v>
      </c>
      <c r="P28" s="55">
        <f>LOOKUP(M28,'ASI294-specs-DR-SNR'!$A$5:$A$45,'ASI294-specs-DR-SNR'!$AC$5:$AC$45)</f>
        <v>14.344537035722192</v>
      </c>
      <c r="Q28" s="56">
        <f>LOOKUP(M28,'ASI294-specs-DR-SNR'!$A$5:$A$45,'ASI294-specs-DR-SNR'!$AE$5:$AE$45)</f>
        <v>21.667738653716736</v>
      </c>
    </row>
    <row r="29" spans="2:18" ht="16.5" x14ac:dyDescent="0.35">
      <c r="B29" s="4"/>
      <c r="C29" s="63"/>
      <c r="D29" s="5"/>
      <c r="E29" s="6"/>
      <c r="G29" s="73" t="s">
        <v>102</v>
      </c>
      <c r="H29" s="48">
        <f>H27/(D17*D15*D24^2*(PI()*D8^2/4))</f>
        <v>0.49250871775355559</v>
      </c>
      <c r="I29" s="5" t="s">
        <v>110</v>
      </c>
      <c r="J29" s="5"/>
      <c r="K29" s="6"/>
      <c r="L29" s="5"/>
      <c r="M29" s="11">
        <f t="shared" si="1"/>
        <v>200</v>
      </c>
      <c r="N29" s="83">
        <f>LOOKUP(M29,'ASI294-specs-DR-SNR'!$A$5:$A$45,'ASI294-specs-DR-SNR'!$O$5:$O$45)</f>
        <v>0.85865695774429107</v>
      </c>
      <c r="O29" s="54">
        <f t="shared" si="0"/>
        <v>279.50626596037233</v>
      </c>
      <c r="P29" s="55">
        <f>LOOKUP(M29,'ASI294-specs-DR-SNR'!$A$5:$A$45,'ASI294-specs-DR-SNR'!$AC$5:$AC$45)</f>
        <v>14.217461230464219</v>
      </c>
      <c r="Q29" s="56">
        <f>LOOKUP(M29,'ASI294-specs-DR-SNR'!$A$5:$A$45,'ASI294-specs-DR-SNR'!$AE$5:$AE$45)</f>
        <v>21.667738653716736</v>
      </c>
      <c r="R29" s="5"/>
    </row>
    <row r="30" spans="2:18" ht="16.5" x14ac:dyDescent="0.35">
      <c r="B30" s="4"/>
      <c r="C30" s="63" t="s">
        <v>113</v>
      </c>
      <c r="D30" s="96">
        <v>22</v>
      </c>
      <c r="E30" s="93" t="s">
        <v>114</v>
      </c>
      <c r="G30" s="73"/>
      <c r="H30" s="48">
        <f>H27/D17</f>
        <v>0.71997923644444417</v>
      </c>
      <c r="I30" s="5" t="s">
        <v>66</v>
      </c>
      <c r="J30" s="5"/>
      <c r="K30" s="6"/>
      <c r="L30" s="5"/>
      <c r="M30" s="11">
        <f t="shared" si="1"/>
        <v>210</v>
      </c>
      <c r="N30" s="83">
        <f>LOOKUP(M30,'ASI294-specs-DR-SNR'!$A$5:$A$45,'ASI294-specs-DR-SNR'!$O$5:$O$45)</f>
        <v>0.83257266432507637</v>
      </c>
      <c r="O30" s="54">
        <f t="shared" si="0"/>
        <v>288.26312739267701</v>
      </c>
      <c r="P30" s="55">
        <f>LOOKUP(M30,'ASI294-specs-DR-SNR'!$A$5:$A$45,'ASI294-specs-DR-SNR'!$AC$5:$AC$45)</f>
        <v>14.087795211437728</v>
      </c>
      <c r="Q30" s="56">
        <f>LOOKUP(M30,'ASI294-specs-DR-SNR'!$A$5:$A$45,'ASI294-specs-DR-SNR'!$AE$5:$AE$45)</f>
        <v>21.667738653716739</v>
      </c>
      <c r="R30" s="5"/>
    </row>
    <row r="31" spans="2:18" ht="16.5" x14ac:dyDescent="0.35">
      <c r="B31" s="4"/>
      <c r="C31" s="63"/>
      <c r="D31" s="48">
        <f xml:space="preserve"> (-0.000001*D14^2 + 0.00064*D14+ 0.4905)*10^(-0.4*((D30)-20.7))</f>
        <v>0.16307739290170872</v>
      </c>
      <c r="E31" s="6" t="s">
        <v>109</v>
      </c>
      <c r="G31" s="73"/>
      <c r="H31" s="50"/>
      <c r="I31" s="5"/>
      <c r="J31" s="5"/>
      <c r="K31" s="6"/>
      <c r="L31" s="5"/>
      <c r="M31" s="11">
        <f t="shared" si="1"/>
        <v>220</v>
      </c>
      <c r="N31" s="83">
        <f>LOOKUP(M31,'ASI294-specs-DR-SNR'!$A$5:$A$45,'ASI294-specs-DR-SNR'!$O$5:$O$45)</f>
        <v>0.80873553605605519</v>
      </c>
      <c r="O31" s="54">
        <f t="shared" si="0"/>
        <v>296.75955772934537</v>
      </c>
      <c r="P31" s="55">
        <f>LOOKUP(M31,'ASI294-specs-DR-SNR'!$A$5:$A$45,'ASI294-specs-DR-SNR'!$AC$5:$AC$45)</f>
        <v>13.955394998746808</v>
      </c>
      <c r="Q31" s="56">
        <f>LOOKUP(M31,'ASI294-specs-DR-SNR'!$A$5:$A$45,'ASI294-specs-DR-SNR'!$AE$5:$AE$45)</f>
        <v>21.667738653716736</v>
      </c>
      <c r="R31" s="5"/>
    </row>
    <row r="32" spans="2:18" ht="17" thickBot="1" x14ac:dyDescent="0.4">
      <c r="B32" s="7"/>
      <c r="C32" s="8"/>
      <c r="D32" s="94">
        <f>D17*D31*D15*D24^2*(PI()*D8^2/4)</f>
        <v>0.14303787842570659</v>
      </c>
      <c r="E32" s="95" t="s">
        <v>66</v>
      </c>
      <c r="G32" s="73" t="s">
        <v>85</v>
      </c>
      <c r="H32" s="48">
        <f>(-0.00000045063*D14^2 + 0.000090632*D14 + 0.62647)*10^(-0.4*(20.7-20.7))</f>
        <v>0.54000202499999994</v>
      </c>
      <c r="I32" s="5" t="s">
        <v>110</v>
      </c>
      <c r="J32" s="5"/>
      <c r="K32" s="6"/>
      <c r="L32" s="5"/>
      <c r="M32" s="11">
        <f t="shared" si="1"/>
        <v>230</v>
      </c>
      <c r="N32" s="83">
        <f>LOOKUP(M32,'ASI294-specs-DR-SNR'!$A$5:$A$45,'ASI294-specs-DR-SNR'!$O$5:$O$45)</f>
        <v>0.78706455541120457</v>
      </c>
      <c r="O32" s="54">
        <f t="shared" si="0"/>
        <v>304.93051472075399</v>
      </c>
      <c r="P32" s="55">
        <f>LOOKUP(M32,'ASI294-specs-DR-SNR'!$A$5:$A$45,'ASI294-specs-DR-SNR'!$AC$5:$AC$45)</f>
        <v>13.820118832053375</v>
      </c>
      <c r="Q32" s="56">
        <f>LOOKUP(M32,'ASI294-specs-DR-SNR'!$A$5:$A$45,'ASI294-specs-DR-SNR'!$AE$5:$AE$45)</f>
        <v>21.667738653716736</v>
      </c>
      <c r="R32" s="5"/>
    </row>
    <row r="33" spans="2:18" ht="15" thickBot="1" x14ac:dyDescent="0.4">
      <c r="G33" s="73"/>
      <c r="H33" s="5"/>
      <c r="I33" s="5"/>
      <c r="J33" s="5"/>
      <c r="K33" s="6"/>
      <c r="L33" s="5"/>
      <c r="M33" s="11">
        <f t="shared" si="1"/>
        <v>240</v>
      </c>
      <c r="N33" s="83">
        <f>LOOKUP(M33,'ASI294-specs-DR-SNR'!$A$5:$A$45,'ASI294-specs-DR-SNR'!$O$5:$O$45)</f>
        <v>0.76748502455878576</v>
      </c>
      <c r="O33" s="54">
        <f t="shared" si="0"/>
        <v>312.70968464560201</v>
      </c>
      <c r="P33" s="55">
        <f>LOOKUP(M33,'ASI294-specs-DR-SNR'!$A$5:$A$45,'ASI294-specs-DR-SNR'!$AC$5:$AC$45)</f>
        <v>13.681828443321246</v>
      </c>
      <c r="Q33" s="56">
        <f>LOOKUP(M33,'ASI294-specs-DR-SNR'!$A$5:$A$45,'ASI294-specs-DR-SNR'!$AE$5:$AE$45)</f>
        <v>21.667738653716736</v>
      </c>
      <c r="R33" s="5"/>
    </row>
    <row r="34" spans="2:18" ht="15" thickBot="1" x14ac:dyDescent="0.4">
      <c r="B34" t="s">
        <v>112</v>
      </c>
      <c r="E34" s="112">
        <v>120</v>
      </c>
      <c r="G34" s="73" t="s">
        <v>82</v>
      </c>
      <c r="H34" s="49">
        <f>20.7-(2.5*LOG(H29/H32))</f>
        <v>20.799953665505637</v>
      </c>
      <c r="I34" s="5" t="s">
        <v>55</v>
      </c>
      <c r="J34" s="5"/>
      <c r="K34" s="6"/>
      <c r="L34" s="5"/>
      <c r="M34" s="11">
        <f t="shared" si="1"/>
        <v>250</v>
      </c>
      <c r="N34" s="83">
        <f>LOOKUP(M34,'ASI294-specs-DR-SNR'!$A$5:$A$45,'ASI294-specs-DR-SNR'!$O$5:$O$45)</f>
        <v>0.749928565361341</v>
      </c>
      <c r="O34" s="54">
        <f t="shared" si="0"/>
        <v>320.03048168242515</v>
      </c>
      <c r="P34" s="55">
        <f>LOOKUP(M34,'ASI294-specs-DR-SNR'!$A$5:$A$45,'ASI294-specs-DR-SNR'!$AC$5:$AC$45)</f>
        <v>13.540390306046149</v>
      </c>
      <c r="Q34" s="56">
        <f>LOOKUP(M34,'ASI294-specs-DR-SNR'!$A$5:$A$45,'ASI294-specs-DR-SNR'!$AE$5:$AE$45)</f>
        <v>21.667738653716736</v>
      </c>
      <c r="R34" s="5"/>
    </row>
    <row r="35" spans="2:18" ht="15" thickBot="1" x14ac:dyDescent="0.4">
      <c r="G35" s="7"/>
      <c r="H35" s="8"/>
      <c r="I35" s="8"/>
      <c r="J35" s="8"/>
      <c r="K35" s="9"/>
      <c r="L35" s="5"/>
      <c r="M35" s="11">
        <f t="shared" si="1"/>
        <v>260</v>
      </c>
      <c r="N35" s="83">
        <f>LOOKUP(M35,'ASI294-specs-DR-SNR'!$A$5:$A$45,'ASI294-specs-DR-SNR'!$O$5:$O$45)</f>
        <v>0.73433311937569556</v>
      </c>
      <c r="O35" s="54">
        <f t="shared" si="0"/>
        <v>326.82714924262115</v>
      </c>
      <c r="P35" s="55">
        <f>LOOKUP(M35,'ASI294-specs-DR-SNR'!$A$5:$A$45,'ASI294-specs-DR-SNR'!$AC$5:$AC$45)</f>
        <v>13.395676727513832</v>
      </c>
      <c r="Q35" s="56">
        <f>LOOKUP(M35,'ASI294-specs-DR-SNR'!$A$5:$A$45,'ASI294-specs-DR-SNR'!$AE$5:$AE$45)</f>
        <v>21.667738653716739</v>
      </c>
      <c r="R35" s="5"/>
    </row>
    <row r="36" spans="2:18" x14ac:dyDescent="0.35">
      <c r="C36" s="89" t="s">
        <v>67</v>
      </c>
      <c r="D36" s="91" t="s">
        <v>111</v>
      </c>
      <c r="E36" s="92" t="s">
        <v>75</v>
      </c>
      <c r="K36" s="5"/>
      <c r="L36" s="5"/>
      <c r="M36" s="11">
        <f t="shared" si="1"/>
        <v>270</v>
      </c>
      <c r="N36" s="83">
        <f>LOOKUP(M36,'ASI294-specs-DR-SNR'!$A$5:$A$45,'ASI294-specs-DR-SNR'!$O$5:$O$45)</f>
        <v>0.72064294785295668</v>
      </c>
      <c r="O36" s="54">
        <f t="shared" si="0"/>
        <v>333.03593785943872</v>
      </c>
      <c r="P36" s="55">
        <f>LOOKUP(M36,'ASI294-specs-DR-SNR'!$A$5:$A$45,'ASI294-specs-DR-SNR'!$AC$5:$AC$45)</f>
        <v>13.247566571098787</v>
      </c>
      <c r="Q36" s="56">
        <f>LOOKUP(M36,'ASI294-specs-DR-SNR'!$A$5:$A$45,'ASI294-specs-DR-SNR'!$AE$5:$AE$45)</f>
        <v>21.667738653716739</v>
      </c>
      <c r="R36" s="5"/>
    </row>
    <row r="37" spans="2:18" x14ac:dyDescent="0.35">
      <c r="C37" s="11">
        <f>D21*0.25</f>
        <v>60</v>
      </c>
      <c r="D37" s="55">
        <f t="shared" ref="D37:D46" si="2">LOOKUP($E$34,$M$9:$M$49,$P$9:$P$49)+(LOG(SQRT((C37/$D$21)*LOOKUP($E$34,$M$9:$M$49,$O$9:$O$49)))/LOG(2)-LOG(SQRT((LOOKUP($E$34,$M$9:$M$49,$O$9:$O$49))))/LOG(2))</f>
        <v>14.173591930821855</v>
      </c>
      <c r="E37" s="56">
        <f t="shared" ref="E37:E46" si="3">SQRT(C37/$D$21)*LOOKUP($E$34,$M$9:$M$49,$Q$9:$Q$49)</f>
        <v>10.83386932685837</v>
      </c>
      <c r="K37" s="5"/>
      <c r="L37" s="5"/>
      <c r="M37" s="11">
        <f t="shared" si="1"/>
        <v>280</v>
      </c>
      <c r="N37" s="83">
        <f>LOOKUP(M37,'ASI294-specs-DR-SNR'!$A$5:$A$45,'ASI294-specs-DR-SNR'!$O$5:$O$45)</f>
        <v>0.70880863173851438</v>
      </c>
      <c r="O37" s="54">
        <f t="shared" si="0"/>
        <v>338.59632805450661</v>
      </c>
      <c r="P37" s="55">
        <f>LOOKUP(M37,'ASI294-specs-DR-SNR'!$A$5:$A$45,'ASI294-specs-DR-SNR'!$AC$5:$AC$45)</f>
        <v>13.095945278865248</v>
      </c>
      <c r="Q37" s="56">
        <f>LOOKUP(M37,'ASI294-specs-DR-SNR'!$A$5:$A$45,'ASI294-specs-DR-SNR'!$AE$5:$AE$45)</f>
        <v>21.667738653716736</v>
      </c>
    </row>
    <row r="38" spans="2:18" x14ac:dyDescent="0.35">
      <c r="C38" s="11">
        <f>D21*0.5</f>
        <v>120</v>
      </c>
      <c r="D38" s="55">
        <f t="shared" si="2"/>
        <v>14.673591930821855</v>
      </c>
      <c r="E38" s="56">
        <f t="shared" si="3"/>
        <v>15.321404935020981</v>
      </c>
      <c r="K38" s="5"/>
      <c r="L38" s="5"/>
      <c r="M38" s="11">
        <f t="shared" si="1"/>
        <v>290</v>
      </c>
      <c r="N38" s="83">
        <f>LOOKUP(M38,'ASI294-specs-DR-SNR'!$A$5:$A$45,'ASI294-specs-DR-SNR'!$O$5:$O$45)</f>
        <v>0.69878707167204079</v>
      </c>
      <c r="O38" s="54">
        <f t="shared" si="0"/>
        <v>343.45226139592683</v>
      </c>
      <c r="P38" s="55">
        <f>LOOKUP(M38,'ASI294-specs-DR-SNR'!$A$5:$A$45,'ASI294-specs-DR-SNR'!$AC$5:$AC$45)</f>
        <v>12.940703695221863</v>
      </c>
      <c r="Q38" s="56">
        <f>LOOKUP(M38,'ASI294-specs-DR-SNR'!$A$5:$A$45,'ASI294-specs-DR-SNR'!$AE$5:$AE$45)</f>
        <v>21.667738653716739</v>
      </c>
    </row>
    <row r="39" spans="2:18" x14ac:dyDescent="0.35">
      <c r="C39" s="11">
        <f>D21*0.75</f>
        <v>180</v>
      </c>
      <c r="D39" s="55">
        <f t="shared" si="2"/>
        <v>14.966073181182434</v>
      </c>
      <c r="E39" s="56">
        <f t="shared" si="3"/>
        <v>18.764812116680726</v>
      </c>
      <c r="K39" s="5"/>
      <c r="L39" s="5"/>
      <c r="M39" s="11">
        <f t="shared" si="1"/>
        <v>300</v>
      </c>
      <c r="N39" s="83">
        <f>LOOKUP(M39,'ASI294-specs-DR-SNR'!$A$5:$A$45,'ASI294-specs-DR-SNR'!$O$5:$O$45)</f>
        <v>0.69054148798749126</v>
      </c>
      <c r="O39" s="54">
        <f t="shared" si="0"/>
        <v>347.55333919103708</v>
      </c>
      <c r="P39" s="55">
        <f>LOOKUP(M39,'ASI294-specs-DR-SNR'!$A$5:$A$45,'ASI294-specs-DR-SNR'!$AC$5:$AC$45)</f>
        <v>12.781734948471733</v>
      </c>
      <c r="Q39" s="56">
        <f>LOOKUP(M39,'ASI294-specs-DR-SNR'!$A$5:$A$45,'ASI294-specs-DR-SNR'!$AE$5:$AE$45)</f>
        <v>21.667738653716736</v>
      </c>
    </row>
    <row r="40" spans="2:18" x14ac:dyDescent="0.35">
      <c r="C40" s="90">
        <f>D21*1</f>
        <v>240</v>
      </c>
      <c r="D40" s="55">
        <f t="shared" si="2"/>
        <v>15.173591930821855</v>
      </c>
      <c r="E40" s="56">
        <f t="shared" si="3"/>
        <v>21.667738653716739</v>
      </c>
      <c r="K40" s="5"/>
      <c r="M40" s="11">
        <f t="shared" si="1"/>
        <v>310</v>
      </c>
      <c r="N40" s="83">
        <f>LOOKUP(M40,'ASI294-specs-DR-SNR'!$A$5:$A$45,'ASI294-specs-DR-SNR'!$O$5:$O$45)</f>
        <v>0.68404142071310192</v>
      </c>
      <c r="O40" s="54">
        <f t="shared" si="0"/>
        <v>350.85594633992184</v>
      </c>
      <c r="P40" s="55">
        <f>LOOKUP(M40,'ASI294-specs-DR-SNR'!$A$5:$A$45,'ASI294-specs-DR-SNR'!$AC$5:$AC$45)</f>
        <v>12.618928298398611</v>
      </c>
      <c r="Q40" s="56">
        <f>LOOKUP(M40,'ASI294-specs-DR-SNR'!$A$5:$A$45,'ASI294-specs-DR-SNR'!$AE$5:$AE$45)</f>
        <v>21.667738653716736</v>
      </c>
    </row>
    <row r="41" spans="2:18" x14ac:dyDescent="0.35">
      <c r="C41" s="11">
        <f>D21*1.5</f>
        <v>360</v>
      </c>
      <c r="D41" s="55">
        <f t="shared" si="2"/>
        <v>15.466073181182434</v>
      </c>
      <c r="E41" s="56">
        <f t="shared" si="3"/>
        <v>26.537451790792868</v>
      </c>
      <c r="K41" s="5"/>
      <c r="M41" s="11">
        <f t="shared" si="1"/>
        <v>320</v>
      </c>
      <c r="N41" s="83">
        <f>LOOKUP(M41,'ASI294-specs-DR-SNR'!$A$5:$A$45,'ASI294-specs-DR-SNR'!$O$5:$O$45)</f>
        <v>0.67926272957139266</v>
      </c>
      <c r="O41" s="54">
        <f t="shared" si="0"/>
        <v>353.32425812827586</v>
      </c>
      <c r="P41" s="55">
        <f>LOOKUP(M41,'ASI294-specs-DR-SNR'!$A$5:$A$45,'ASI294-specs-DR-SNR'!$AC$5:$AC$45)</f>
        <v>12.452158360947006</v>
      </c>
      <c r="Q41" s="56">
        <f>LOOKUP(M41,'ASI294-specs-DR-SNR'!$A$5:$A$45,'ASI294-specs-DR-SNR'!$AE$5:$AE$45)</f>
        <v>21.667738653716739</v>
      </c>
    </row>
    <row r="42" spans="2:18" x14ac:dyDescent="0.35">
      <c r="C42" s="11">
        <f>D21*2</f>
        <v>480</v>
      </c>
      <c r="D42" s="55">
        <f t="shared" si="2"/>
        <v>15.673591930821855</v>
      </c>
      <c r="E42" s="56">
        <f t="shared" si="3"/>
        <v>30.642809870041962</v>
      </c>
      <c r="K42" s="5"/>
      <c r="M42" s="11">
        <f t="shared" si="1"/>
        <v>330</v>
      </c>
      <c r="N42" s="83">
        <f>LOOKUP(M42,'ASI294-specs-DR-SNR'!$A$5:$A$45,'ASI294-specs-DR-SNR'!$O$5:$O$45)</f>
        <v>0.67618759397916528</v>
      </c>
      <c r="O42" s="54">
        <f t="shared" si="0"/>
        <v>354.93109033200466</v>
      </c>
      <c r="P42" s="55">
        <f>LOOKUP(M42,'ASI294-specs-DR-SNR'!$A$5:$A$45,'ASI294-specs-DR-SNR'!$AC$5:$AC$45)</f>
        <v>12.281267410610468</v>
      </c>
      <c r="Q42" s="56">
        <f>LOOKUP(M42,'ASI294-specs-DR-SNR'!$A$5:$A$45,'ASI294-specs-DR-SNR'!$AE$5:$AE$45)</f>
        <v>21.667738653716736</v>
      </c>
    </row>
    <row r="43" spans="2:18" x14ac:dyDescent="0.35">
      <c r="C43" s="11">
        <f>D21*3</f>
        <v>720</v>
      </c>
      <c r="D43" s="55">
        <f t="shared" si="2"/>
        <v>15.966073181182434</v>
      </c>
      <c r="E43" s="56">
        <f t="shared" si="3"/>
        <v>37.529624233361453</v>
      </c>
      <c r="K43" s="5"/>
      <c r="M43" s="11">
        <f t="shared" si="1"/>
        <v>340</v>
      </c>
      <c r="N43" s="83">
        <f>LOOKUP(M43,'ASI294-specs-DR-SNR'!$A$5:$A$45,'ASI294-specs-DR-SNR'!$O$5:$O$45)</f>
        <v>0.67480451304750411</v>
      </c>
      <c r="O43" s="54">
        <f t="shared" si="0"/>
        <v>355.65855793721516</v>
      </c>
      <c r="P43" s="55">
        <f>LOOKUP(M43,'ASI294-specs-DR-SNR'!$A$5:$A$45,'ASI294-specs-DR-SNR'!$AC$5:$AC$45)</f>
        <v>12.106037434771894</v>
      </c>
      <c r="Q43" s="56">
        <f>LOOKUP(M43,'ASI294-specs-DR-SNR'!$A$5:$A$45,'ASI294-specs-DR-SNR'!$AE$5:$AE$45)</f>
        <v>21.667738653716736</v>
      </c>
    </row>
    <row r="44" spans="2:18" x14ac:dyDescent="0.35">
      <c r="C44" s="11">
        <f>D21*4</f>
        <v>960</v>
      </c>
      <c r="D44" s="55">
        <f t="shared" si="2"/>
        <v>16.173591930821857</v>
      </c>
      <c r="E44" s="56">
        <f t="shared" si="3"/>
        <v>43.335477307433479</v>
      </c>
      <c r="K44" s="5"/>
      <c r="M44" s="11">
        <f t="shared" si="1"/>
        <v>350</v>
      </c>
      <c r="N44" s="83">
        <f>LOOKUP(M44,'ASI294-specs-DR-SNR'!$A$5:$A$45,'ASI294-specs-DR-SNR'!$O$5:$O$45)</f>
        <v>0.67510830558177559</v>
      </c>
      <c r="O44" s="54">
        <f t="shared" si="0"/>
        <v>355.49851485411608</v>
      </c>
      <c r="P44" s="55">
        <f>LOOKUP(M44,'ASI294-specs-DR-SNR'!$A$5:$A$45,'ASI294-specs-DR-SNR'!$AC$5:$AC$45)</f>
        <v>11.926147098138049</v>
      </c>
      <c r="Q44" s="56">
        <f>LOOKUP(M44,'ASI294-specs-DR-SNR'!$A$5:$A$45,'ASI294-specs-DR-SNR'!$AE$5:$AE$45)</f>
        <v>21.667738653716739</v>
      </c>
    </row>
    <row r="45" spans="2:18" x14ac:dyDescent="0.35">
      <c r="C45" s="11">
        <f>D21*5</f>
        <v>1200</v>
      </c>
      <c r="D45" s="55">
        <f t="shared" si="2"/>
        <v>16.334555978265538</v>
      </c>
      <c r="E45" s="56">
        <f t="shared" si="3"/>
        <v>48.450536548410405</v>
      </c>
      <c r="K45" s="5"/>
      <c r="M45" s="11">
        <f t="shared" si="1"/>
        <v>360</v>
      </c>
      <c r="N45" s="83">
        <f>LOOKUP(M45,'ASI294-specs-DR-SNR'!$A$5:$A$45,'ASI294-specs-DR-SNR'!$O$5:$O$45)</f>
        <v>0.67710011008162874</v>
      </c>
      <c r="O45" s="54">
        <f t="shared" si="0"/>
        <v>354.4527558429528</v>
      </c>
      <c r="P45" s="55">
        <f>LOOKUP(M45,'ASI294-specs-DR-SNR'!$A$5:$A$45,'ASI294-specs-DR-SNR'!$AC$5:$AC$45)</f>
        <v>11.741106452566951</v>
      </c>
      <c r="Q45" s="56">
        <f>LOOKUP(M45,'ASI294-specs-DR-SNR'!$A$5:$A$45,'ASI294-specs-DR-SNR'!$AE$5:$AE$45)</f>
        <v>21.667738653716736</v>
      </c>
    </row>
    <row r="46" spans="2:18" ht="15" thickBot="1" x14ac:dyDescent="0.4">
      <c r="C46" s="57">
        <f>D21*10</f>
        <v>2400</v>
      </c>
      <c r="D46" s="59">
        <f t="shared" si="2"/>
        <v>16.834555978265534</v>
      </c>
      <c r="E46" s="60">
        <f t="shared" si="3"/>
        <v>68.519405891015325</v>
      </c>
      <c r="M46" s="11">
        <f t="shared" si="1"/>
        <v>370</v>
      </c>
      <c r="N46" s="83">
        <f>LOOKUP(M46,'ASI294-specs-DR-SNR'!$A$5:$A$45,'ASI294-specs-DR-SNR'!$O$5:$O$45)</f>
        <v>0.68078738474099521</v>
      </c>
      <c r="O46" s="54">
        <f t="shared" si="0"/>
        <v>352.53297193705748</v>
      </c>
      <c r="P46" s="55">
        <f>LOOKUP(M46,'ASI294-specs-DR-SNR'!$A$5:$A$45,'ASI294-specs-DR-SNR'!$AC$5:$AC$45)</f>
        <v>11.550158480395144</v>
      </c>
      <c r="Q46" s="56">
        <f>LOOKUP(M46,'ASI294-specs-DR-SNR'!$A$5:$A$45,'ASI294-specs-DR-SNR'!$AE$5:$AE$45)</f>
        <v>21.667738653716736</v>
      </c>
    </row>
    <row r="47" spans="2:18" x14ac:dyDescent="0.35">
      <c r="M47" s="11">
        <f t="shared" si="1"/>
        <v>380</v>
      </c>
      <c r="N47" s="83">
        <f>LOOKUP(M47,'ASI294-specs-DR-SNR'!$A$5:$A$45,'ASI294-specs-DR-SNR'!$O$5:$O$45)</f>
        <v>0.68618390744808899</v>
      </c>
      <c r="O47" s="54">
        <f t="shared" si="0"/>
        <v>349.76046129172215</v>
      </c>
      <c r="P47" s="55">
        <f>LOOKUP(M47,'ASI294-specs-DR-SNR'!$A$5:$A$45,'ASI294-specs-DR-SNR'!$AC$5:$AC$45)</f>
        <v>11.35213011647984</v>
      </c>
      <c r="Q47" s="56">
        <f>LOOKUP(M47,'ASI294-specs-DR-SNR'!$A$5:$A$45,'ASI294-specs-DR-SNR'!$AE$5:$AE$45)</f>
        <v>21.667738653716732</v>
      </c>
    </row>
    <row r="48" spans="2:18" x14ac:dyDescent="0.35">
      <c r="M48" s="11">
        <f t="shared" si="1"/>
        <v>390</v>
      </c>
      <c r="N48" s="83">
        <f>LOOKUP(M48,'ASI294-specs-DR-SNR'!$A$5:$A$45,'ASI294-specs-DR-SNR'!$O$5:$O$45)</f>
        <v>0.69330977578540598</v>
      </c>
      <c r="O48" s="54">
        <f t="shared" si="0"/>
        <v>346.16560790321967</v>
      </c>
      <c r="P48" s="55">
        <f>LOOKUP(M48,'ASI294-specs-DR-SNR'!$A$5:$A$45,'ASI294-specs-DR-SNR'!$AC$5:$AC$45)</f>
        <v>11.145203507384913</v>
      </c>
      <c r="Q48" s="56">
        <f>LOOKUP(M48,'ASI294-specs-DR-SNR'!$A$5:$A$45,'ASI294-specs-DR-SNR'!$AE$5:$AE$45)</f>
        <v>21.667738653716739</v>
      </c>
    </row>
    <row r="49" spans="13:17" ht="15" thickBot="1" x14ac:dyDescent="0.4">
      <c r="M49" s="57">
        <f t="shared" si="1"/>
        <v>400</v>
      </c>
      <c r="N49" s="84">
        <f>LOOKUP(M49,'ASI294-specs-DR-SNR'!$A$5:$A$45,'ASI294-specs-DR-SNR'!$O$5:$O$45)</f>
        <v>0.70219140702972427</v>
      </c>
      <c r="O49" s="58">
        <f t="shared" si="0"/>
        <v>341.78715033725928</v>
      </c>
      <c r="P49" s="59">
        <f>LOOKUP(M49,'ASI294-specs-DR-SNR'!$A$5:$A$45,'ASI294-specs-DR-SNR'!$AC$5:$AC$45)</f>
        <v>10.926554681485595</v>
      </c>
      <c r="Q49" s="60">
        <f>LOOKUP(M49,'ASI294-specs-DR-SNR'!$A$5:$A$45,'ASI294-specs-DR-SNR'!$AE$5:$AE$45)</f>
        <v>21.667738653716739</v>
      </c>
    </row>
  </sheetData>
  <mergeCells count="9">
    <mergeCell ref="P6:Q6"/>
    <mergeCell ref="M5:Q5"/>
    <mergeCell ref="G5:K5"/>
    <mergeCell ref="M4:Q4"/>
    <mergeCell ref="B1:O1"/>
    <mergeCell ref="B2:O2"/>
    <mergeCell ref="B4:E4"/>
    <mergeCell ref="G4:K4"/>
    <mergeCell ref="B3:O3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Filters!$A$2:$A$23</xm:f>
          </x14:formula1>
          <xm:sqref>B14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3"/>
  <sheetViews>
    <sheetView topLeftCell="A4" workbookViewId="0">
      <selection activeCell="A2" sqref="A2:C23"/>
    </sheetView>
  </sheetViews>
  <sheetFormatPr defaultRowHeight="14.5" x14ac:dyDescent="0.35"/>
  <cols>
    <col min="1" max="1" width="22.453125" customWidth="1"/>
    <col min="2" max="2" width="12.6328125" customWidth="1"/>
  </cols>
  <sheetData>
    <row r="1" spans="1:3" x14ac:dyDescent="0.35">
      <c r="A1" s="101" t="s">
        <v>122</v>
      </c>
      <c r="B1" s="98" t="s">
        <v>123</v>
      </c>
      <c r="C1" s="98" t="s">
        <v>124</v>
      </c>
    </row>
    <row r="2" spans="1:3" x14ac:dyDescent="0.35">
      <c r="A2" s="13" t="s">
        <v>125</v>
      </c>
      <c r="B2" s="43">
        <v>450</v>
      </c>
      <c r="C2" s="42">
        <v>100</v>
      </c>
    </row>
    <row r="3" spans="1:3" x14ac:dyDescent="0.35">
      <c r="A3" s="13" t="s">
        <v>126</v>
      </c>
      <c r="B3" s="43">
        <v>550</v>
      </c>
      <c r="C3" s="42">
        <v>100</v>
      </c>
    </row>
    <row r="4" spans="1:3" x14ac:dyDescent="0.35">
      <c r="A4" s="13" t="s">
        <v>127</v>
      </c>
      <c r="B4" s="43">
        <v>656</v>
      </c>
      <c r="C4" s="42">
        <v>12</v>
      </c>
    </row>
    <row r="5" spans="1:3" x14ac:dyDescent="0.35">
      <c r="A5" s="13" t="s">
        <v>128</v>
      </c>
      <c r="B5" s="43">
        <v>656</v>
      </c>
      <c r="C5" s="42">
        <v>3</v>
      </c>
    </row>
    <row r="6" spans="1:3" x14ac:dyDescent="0.35">
      <c r="A6" s="13" t="s">
        <v>129</v>
      </c>
      <c r="B6" s="43">
        <v>656</v>
      </c>
      <c r="C6" s="42">
        <v>6</v>
      </c>
    </row>
    <row r="7" spans="1:3" x14ac:dyDescent="0.35">
      <c r="A7" s="13" t="s">
        <v>130</v>
      </c>
      <c r="B7" s="43">
        <v>656</v>
      </c>
      <c r="C7" s="42">
        <v>7</v>
      </c>
    </row>
    <row r="8" spans="1:3" x14ac:dyDescent="0.35">
      <c r="A8" s="13" t="s">
        <v>131</v>
      </c>
      <c r="B8" s="43">
        <v>578.5</v>
      </c>
      <c r="C8" s="42">
        <v>20</v>
      </c>
    </row>
    <row r="9" spans="1:3" x14ac:dyDescent="0.35">
      <c r="A9" s="13" t="s">
        <v>153</v>
      </c>
      <c r="B9" s="43">
        <v>526</v>
      </c>
      <c r="C9" s="42">
        <v>53</v>
      </c>
    </row>
    <row r="10" spans="1:3" x14ac:dyDescent="0.35">
      <c r="A10" s="13" t="s">
        <v>154</v>
      </c>
      <c r="B10" s="43">
        <f>((7*500.6) + (7*656.3))/14</f>
        <v>578.44999999999993</v>
      </c>
      <c r="C10" s="42">
        <v>14</v>
      </c>
    </row>
    <row r="11" spans="1:3" x14ac:dyDescent="0.35">
      <c r="A11" s="13" t="s">
        <v>132</v>
      </c>
      <c r="B11" s="43">
        <v>550</v>
      </c>
      <c r="C11" s="42">
        <v>300</v>
      </c>
    </row>
    <row r="12" spans="1:3" x14ac:dyDescent="0.35">
      <c r="A12" s="13" t="s">
        <v>133</v>
      </c>
      <c r="B12" s="43">
        <v>500</v>
      </c>
      <c r="C12" s="42">
        <v>12</v>
      </c>
    </row>
    <row r="13" spans="1:3" x14ac:dyDescent="0.35">
      <c r="A13" s="13" t="s">
        <v>134</v>
      </c>
      <c r="B13" s="43">
        <v>500</v>
      </c>
      <c r="C13" s="42">
        <v>3</v>
      </c>
    </row>
    <row r="14" spans="1:3" x14ac:dyDescent="0.35">
      <c r="A14" s="13" t="s">
        <v>135</v>
      </c>
      <c r="B14" s="43">
        <v>500</v>
      </c>
      <c r="C14" s="42">
        <v>6</v>
      </c>
    </row>
    <row r="15" spans="1:3" x14ac:dyDescent="0.35">
      <c r="A15" s="13" t="s">
        <v>136</v>
      </c>
      <c r="B15" s="43">
        <v>500</v>
      </c>
      <c r="C15" s="42">
        <v>7</v>
      </c>
    </row>
    <row r="16" spans="1:3" x14ac:dyDescent="0.35">
      <c r="A16" s="13" t="s">
        <v>137</v>
      </c>
      <c r="B16" s="43">
        <v>552</v>
      </c>
      <c r="C16" s="42">
        <v>30</v>
      </c>
    </row>
    <row r="17" spans="1:3" x14ac:dyDescent="0.35">
      <c r="A17" s="13" t="s">
        <v>138</v>
      </c>
      <c r="B17" s="43">
        <v>650</v>
      </c>
      <c r="C17" s="42">
        <v>100</v>
      </c>
    </row>
    <row r="18" spans="1:3" x14ac:dyDescent="0.35">
      <c r="A18" s="13" t="s">
        <v>139</v>
      </c>
      <c r="B18" s="43">
        <v>672</v>
      </c>
      <c r="C18" s="42">
        <v>12</v>
      </c>
    </row>
    <row r="19" spans="1:3" x14ac:dyDescent="0.35">
      <c r="A19" s="13" t="s">
        <v>140</v>
      </c>
      <c r="B19" s="43">
        <v>672</v>
      </c>
      <c r="C19" s="42">
        <v>3</v>
      </c>
    </row>
    <row r="20" spans="1:3" x14ac:dyDescent="0.35">
      <c r="A20" s="13" t="s">
        <v>141</v>
      </c>
      <c r="B20" s="43">
        <v>672</v>
      </c>
      <c r="C20" s="42">
        <v>6</v>
      </c>
    </row>
    <row r="21" spans="1:3" x14ac:dyDescent="0.35">
      <c r="A21" s="13" t="s">
        <v>142</v>
      </c>
      <c r="B21" s="43">
        <v>672</v>
      </c>
      <c r="C21" s="42">
        <v>7</v>
      </c>
    </row>
    <row r="22" spans="1:3" x14ac:dyDescent="0.35">
      <c r="A22" s="13" t="s">
        <v>143</v>
      </c>
      <c r="B22" s="43">
        <v>547.79999999999995</v>
      </c>
      <c r="C22" s="42">
        <v>13</v>
      </c>
    </row>
    <row r="23" spans="1:3" x14ac:dyDescent="0.35">
      <c r="A23" s="13" t="s">
        <v>144</v>
      </c>
      <c r="B23" s="43">
        <v>552</v>
      </c>
      <c r="C23" s="42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3"/>
  <sheetViews>
    <sheetView topLeftCell="A16" zoomScale="85" zoomScaleNormal="85" workbookViewId="0">
      <selection activeCell="D13" sqref="D13"/>
    </sheetView>
  </sheetViews>
  <sheetFormatPr defaultRowHeight="14.5" x14ac:dyDescent="0.35"/>
  <cols>
    <col min="1" max="1" width="46.54296875" customWidth="1"/>
    <col min="2" max="2" width="22.1796875" customWidth="1"/>
    <col min="3" max="3" width="38" customWidth="1"/>
    <col min="4" max="4" width="32.1796875" customWidth="1"/>
  </cols>
  <sheetData>
    <row r="1" spans="1:11" ht="28.5" x14ac:dyDescent="0.65">
      <c r="A1" s="142" t="s">
        <v>53</v>
      </c>
      <c r="B1" s="142"/>
      <c r="C1" s="142"/>
      <c r="D1" s="142"/>
    </row>
    <row r="2" spans="1:11" ht="19.5" customHeight="1" x14ac:dyDescent="0.35">
      <c r="A2" s="145" t="s">
        <v>16</v>
      </c>
      <c r="B2" s="145"/>
      <c r="C2" s="145"/>
      <c r="D2" s="145"/>
    </row>
    <row r="4" spans="1:11" x14ac:dyDescent="0.35">
      <c r="B4" s="140" t="s">
        <v>3</v>
      </c>
      <c r="C4" s="141"/>
    </row>
    <row r="5" spans="1:11" ht="7.5" customHeight="1" x14ac:dyDescent="0.35">
      <c r="B5" s="18"/>
      <c r="C5" s="19"/>
    </row>
    <row r="6" spans="1:11" ht="53.25" customHeight="1" x14ac:dyDescent="0.35">
      <c r="B6" s="143"/>
      <c r="C6" s="144"/>
    </row>
    <row r="7" spans="1:11" x14ac:dyDescent="0.35">
      <c r="B7" s="16"/>
      <c r="C7" s="17"/>
    </row>
    <row r="8" spans="1:11" x14ac:dyDescent="0.35">
      <c r="B8" s="18" t="s">
        <v>4</v>
      </c>
      <c r="C8" s="19" t="s">
        <v>5</v>
      </c>
    </row>
    <row r="9" spans="1:11" ht="13" customHeight="1" x14ac:dyDescent="0.35">
      <c r="B9" s="18"/>
      <c r="C9" s="19"/>
      <c r="E9" t="s">
        <v>70</v>
      </c>
      <c r="F9" t="s">
        <v>71</v>
      </c>
    </row>
    <row r="10" spans="1:11" x14ac:dyDescent="0.35">
      <c r="B10" s="18">
        <v>450</v>
      </c>
      <c r="C10" s="20">
        <v>0.57599999999999996</v>
      </c>
      <c r="D10" s="26"/>
      <c r="E10" s="12">
        <v>450</v>
      </c>
      <c r="F10" s="12">
        <v>0.57599999999999996</v>
      </c>
      <c r="G10" s="12"/>
      <c r="H10" s="12"/>
      <c r="I10" s="12"/>
      <c r="J10" s="12"/>
      <c r="K10" s="12"/>
    </row>
    <row r="11" spans="1:11" x14ac:dyDescent="0.35">
      <c r="B11" s="18" t="s">
        <v>15</v>
      </c>
      <c r="C11" s="19">
        <v>0.54900000000000004</v>
      </c>
      <c r="D11" s="26"/>
      <c r="E11" s="12">
        <v>550</v>
      </c>
      <c r="F11" s="51">
        <v>0.54</v>
      </c>
      <c r="G11" s="12"/>
      <c r="H11" s="12"/>
      <c r="I11" s="12"/>
      <c r="J11" s="12"/>
      <c r="K11" s="12"/>
    </row>
    <row r="12" spans="1:11" x14ac:dyDescent="0.35">
      <c r="B12" s="18">
        <v>550</v>
      </c>
      <c r="C12" s="20">
        <v>0.54</v>
      </c>
      <c r="D12" s="26"/>
      <c r="E12" s="12">
        <v>656</v>
      </c>
      <c r="F12" s="12">
        <v>0.49199999999999999</v>
      </c>
      <c r="G12" s="12"/>
      <c r="H12" s="12"/>
      <c r="I12" s="12"/>
      <c r="J12" s="12"/>
      <c r="K12" s="12"/>
    </row>
    <row r="13" spans="1:11" x14ac:dyDescent="0.35">
      <c r="B13" s="18">
        <v>650</v>
      </c>
      <c r="C13" s="20">
        <v>0.48399999999999999</v>
      </c>
      <c r="D13" s="26"/>
      <c r="E13" s="12"/>
      <c r="F13" s="12"/>
      <c r="G13" s="12"/>
      <c r="H13" s="12"/>
      <c r="I13" s="12"/>
      <c r="J13" s="12"/>
      <c r="K13" s="12"/>
    </row>
    <row r="14" spans="1:11" x14ac:dyDescent="0.35">
      <c r="B14" s="21" t="s">
        <v>14</v>
      </c>
      <c r="C14" s="22">
        <v>0.49199999999999999</v>
      </c>
      <c r="D14" s="26"/>
      <c r="E14" s="12"/>
      <c r="F14" s="12"/>
      <c r="G14" s="12"/>
      <c r="H14" s="12"/>
      <c r="I14" s="12"/>
      <c r="J14" s="12"/>
      <c r="K14" s="12"/>
    </row>
    <row r="16" spans="1:11" ht="27" customHeight="1" x14ac:dyDescent="0.35">
      <c r="A16" s="23" t="s">
        <v>13</v>
      </c>
      <c r="B16" s="25">
        <v>0.54</v>
      </c>
      <c r="C16" s="24" t="s">
        <v>2</v>
      </c>
    </row>
    <row r="18" spans="1:5" x14ac:dyDescent="0.35">
      <c r="A18" s="23" t="s">
        <v>17</v>
      </c>
      <c r="B18" s="14">
        <f>'Gain-Sub-Exp'!D6</f>
        <v>20.799953665505637</v>
      </c>
    </row>
    <row r="20" spans="1:5" x14ac:dyDescent="0.35">
      <c r="A20" s="23" t="s">
        <v>12</v>
      </c>
      <c r="B20" s="15">
        <f>'Gain-Sub-Exp'!D26</f>
        <v>0.49250871775355604</v>
      </c>
    </row>
    <row r="22" spans="1:5" x14ac:dyDescent="0.35">
      <c r="B22" s="13" t="s">
        <v>6</v>
      </c>
      <c r="C22" s="14">
        <f>'Gain-Sub-Exp'!D15</f>
        <v>100</v>
      </c>
      <c r="D22" t="s">
        <v>7</v>
      </c>
    </row>
    <row r="23" spans="1:5" x14ac:dyDescent="0.35">
      <c r="B23" s="13" t="s">
        <v>19</v>
      </c>
      <c r="C23" s="66">
        <f>'Gain-Sub-Exp'!D24</f>
        <v>1.1863429228870261</v>
      </c>
      <c r="D23" t="s">
        <v>8</v>
      </c>
    </row>
    <row r="24" spans="1:5" x14ac:dyDescent="0.35">
      <c r="B24" s="13" t="s">
        <v>9</v>
      </c>
      <c r="C24" s="14">
        <f>'Gain-Sub-Exp'!D8</f>
        <v>0.115</v>
      </c>
      <c r="D24" t="s">
        <v>10</v>
      </c>
    </row>
    <row r="25" spans="1:5" x14ac:dyDescent="0.35">
      <c r="B25" s="13" t="s">
        <v>0</v>
      </c>
      <c r="C25" s="14">
        <f>'Gain-Sub-Exp'!D17</f>
        <v>0.6</v>
      </c>
      <c r="D25" t="s">
        <v>11</v>
      </c>
    </row>
    <row r="27" spans="1:5" ht="26" x14ac:dyDescent="0.6">
      <c r="B27" s="27" t="s">
        <v>20</v>
      </c>
      <c r="C27" s="28">
        <f>C25*B20*C22*C23^2*(PI()*C24^2/4)</f>
        <v>0.43198754186666688</v>
      </c>
      <c r="D27" s="29" t="s">
        <v>18</v>
      </c>
    </row>
    <row r="29" spans="1:5" x14ac:dyDescent="0.35">
      <c r="A29" t="s">
        <v>103</v>
      </c>
    </row>
    <row r="30" spans="1:5" ht="16.5" x14ac:dyDescent="0.45">
      <c r="A30" s="72" t="s">
        <v>86</v>
      </c>
      <c r="B30" s="68"/>
      <c r="C30" s="68"/>
      <c r="D30" s="68"/>
      <c r="E30" s="68"/>
    </row>
    <row r="31" spans="1:5" x14ac:dyDescent="0.35">
      <c r="A31" s="72" t="s">
        <v>81</v>
      </c>
      <c r="B31" s="68"/>
      <c r="C31" s="68"/>
      <c r="D31" s="68"/>
      <c r="E31" s="68"/>
    </row>
    <row r="32" spans="1:5" x14ac:dyDescent="0.35">
      <c r="A32" s="72" t="s">
        <v>84</v>
      </c>
      <c r="B32" s="5"/>
      <c r="C32" s="5"/>
      <c r="D32" s="5"/>
      <c r="E32" s="5"/>
    </row>
    <row r="33" spans="2:5" x14ac:dyDescent="0.35">
      <c r="B33" s="68"/>
      <c r="C33" s="68"/>
      <c r="D33" s="68"/>
      <c r="E33" s="68"/>
    </row>
  </sheetData>
  <mergeCells count="4">
    <mergeCell ref="B4:C4"/>
    <mergeCell ref="A1:D1"/>
    <mergeCell ref="B6:C6"/>
    <mergeCell ref="A2:D2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63"/>
  <sheetViews>
    <sheetView topLeftCell="A4" zoomScaleNormal="100" workbookViewId="0">
      <selection activeCell="O57" sqref="O57"/>
    </sheetView>
  </sheetViews>
  <sheetFormatPr defaultRowHeight="14.5" x14ac:dyDescent="0.35"/>
  <cols>
    <col min="1" max="1" width="9.1796875" style="30"/>
    <col min="2" max="2" width="9.1796875" style="12"/>
    <col min="3" max="3" width="9.453125" style="12" bestFit="1" customWidth="1"/>
    <col min="4" max="4" width="8.81640625" style="12" customWidth="1"/>
    <col min="5" max="5" width="9.1796875" style="12"/>
    <col min="6" max="6" width="1.1796875" style="12" customWidth="1"/>
    <col min="7" max="7" width="6.6328125" style="114" customWidth="1"/>
    <col min="8" max="8" width="1.1796875" style="113" customWidth="1"/>
    <col min="9" max="9" width="7" style="12" customWidth="1"/>
    <col min="10" max="10" width="1.1796875" style="12" customWidth="1"/>
    <col min="11" max="11" width="9.1796875" style="12"/>
    <col min="12" max="12" width="9.1796875" style="30"/>
    <col min="13" max="13" width="1.1796875" style="30" customWidth="1"/>
    <col min="14" max="14" width="11.81640625" style="12" customWidth="1"/>
    <col min="15" max="15" width="12.453125" style="12" bestFit="1" customWidth="1"/>
    <col min="16" max="16" width="1.81640625" customWidth="1"/>
    <col min="17" max="17" width="7.81640625" style="12" customWidth="1"/>
    <col min="18" max="18" width="9.1796875" style="12"/>
    <col min="19" max="19" width="1.81640625" style="12" customWidth="1"/>
    <col min="20" max="20" width="11.81640625" style="12" customWidth="1"/>
    <col min="21" max="21" width="10.54296875" style="12" customWidth="1"/>
    <col min="22" max="22" width="2" customWidth="1"/>
    <col min="23" max="25" width="9.1796875" style="12"/>
    <col min="26" max="26" width="2.1796875" style="12" customWidth="1"/>
    <col min="27" max="27" width="9.1796875" style="12"/>
    <col min="28" max="28" width="2.453125" customWidth="1"/>
    <col min="29" max="29" width="9.1796875" style="30"/>
    <col min="30" max="30" width="2.1796875" customWidth="1"/>
    <col min="32" max="32" width="1.1796875" customWidth="1"/>
    <col min="33" max="33" width="10.1796875" customWidth="1"/>
    <col min="34" max="34" width="10.81640625" customWidth="1"/>
  </cols>
  <sheetData>
    <row r="1" spans="1:34" ht="43.5" customHeight="1" x14ac:dyDescent="0.35">
      <c r="A1" s="34" t="s">
        <v>105</v>
      </c>
      <c r="R1" s="31" t="s">
        <v>21</v>
      </c>
      <c r="S1" s="31"/>
      <c r="T1" s="31" t="s">
        <v>22</v>
      </c>
      <c r="Y1" s="32"/>
      <c r="AD1" s="33"/>
      <c r="AE1" s="31" t="s">
        <v>23</v>
      </c>
    </row>
    <row r="2" spans="1:34" ht="25.5" customHeight="1" x14ac:dyDescent="0.35">
      <c r="A2" s="148" t="s">
        <v>24</v>
      </c>
      <c r="B2" s="148"/>
      <c r="C2" s="148"/>
      <c r="D2" s="148"/>
      <c r="E2" s="148"/>
      <c r="F2" s="148"/>
      <c r="G2" s="148"/>
      <c r="H2" s="148"/>
      <c r="I2" s="148"/>
      <c r="J2" s="30"/>
      <c r="R2" s="67">
        <f>'Gain-Sub-Exp'!D12</f>
        <v>9.3100763333333284E-3</v>
      </c>
      <c r="S2" s="10"/>
      <c r="T2" s="67">
        <f>'Gain-Sub-Exp'!D27</f>
        <v>0.43198754186666688</v>
      </c>
      <c r="Y2" s="32"/>
      <c r="AE2" s="67">
        <f>'Gain-Sub-Exp'!D32</f>
        <v>0.14303787842570659</v>
      </c>
    </row>
    <row r="3" spans="1:34" ht="6.75" customHeight="1" x14ac:dyDescent="0.35">
      <c r="A3" s="34"/>
      <c r="Y3" s="32"/>
    </row>
    <row r="4" spans="1:34" ht="44.5" x14ac:dyDescent="0.45">
      <c r="A4" s="35" t="s">
        <v>25</v>
      </c>
      <c r="B4" s="36" t="s">
        <v>26</v>
      </c>
      <c r="C4" s="36" t="s">
        <v>27</v>
      </c>
      <c r="D4" s="12" t="s">
        <v>28</v>
      </c>
      <c r="E4" s="36" t="s">
        <v>29</v>
      </c>
      <c r="G4" s="114" t="s">
        <v>155</v>
      </c>
      <c r="I4" s="36" t="s">
        <v>30</v>
      </c>
      <c r="J4" s="36"/>
      <c r="K4" s="36" t="s">
        <v>108</v>
      </c>
      <c r="L4" s="31" t="s">
        <v>31</v>
      </c>
      <c r="M4" s="37"/>
      <c r="N4" s="36" t="s">
        <v>32</v>
      </c>
      <c r="O4" s="36" t="s">
        <v>33</v>
      </c>
      <c r="Q4" s="12" t="s">
        <v>34</v>
      </c>
      <c r="R4" s="36" t="s">
        <v>35</v>
      </c>
      <c r="S4" s="36"/>
      <c r="T4" s="36" t="s">
        <v>36</v>
      </c>
      <c r="U4" s="36" t="s">
        <v>37</v>
      </c>
      <c r="W4" s="12" t="s">
        <v>38</v>
      </c>
      <c r="X4" s="12" t="s">
        <v>39</v>
      </c>
      <c r="Y4" s="12" t="s">
        <v>40</v>
      </c>
      <c r="Z4" s="36"/>
      <c r="AA4" s="12" t="s">
        <v>41</v>
      </c>
      <c r="AC4" s="30" t="s">
        <v>42</v>
      </c>
      <c r="AE4" s="35" t="s">
        <v>43</v>
      </c>
      <c r="AG4" s="30"/>
      <c r="AH4" s="38"/>
    </row>
    <row r="5" spans="1:34" x14ac:dyDescent="0.35">
      <c r="A5" s="87">
        <v>0</v>
      </c>
      <c r="B5" s="39">
        <f>0.00000000039655*A5^4 - 0.00000046426*A5^3 + 0.00020865*A5^2 - 0.043964*A5 + 3.8849</f>
        <v>3.8849</v>
      </c>
      <c r="C5" s="40">
        <f>1000*63.253*EXP(-0.012*A5)</f>
        <v>63253</v>
      </c>
      <c r="D5" s="41">
        <f>-0.0135*A5+ 13.092</f>
        <v>13.092000000000001</v>
      </c>
      <c r="E5" s="41">
        <f>0.00008*A5^2 - 0.022*A5 + 7.4</f>
        <v>7.4</v>
      </c>
      <c r="G5" s="115">
        <f>LOG(C5/E5)/LOG(2)</f>
        <v>13.06132101521534</v>
      </c>
      <c r="I5" s="42">
        <f>0.0004*A5^2+0.02*A5+7</f>
        <v>7</v>
      </c>
      <c r="J5" s="42"/>
      <c r="K5" s="43">
        <f>5*I5</f>
        <v>35</v>
      </c>
      <c r="L5" s="40">
        <f t="shared" ref="L5:L20" si="0">K5*B5</f>
        <v>135.97149999999999</v>
      </c>
      <c r="M5" s="40"/>
      <c r="N5" s="42">
        <f>'Gain-Sub-Exp'!$D$19*E5^2/$T$2</f>
        <v>1267.6291488262802</v>
      </c>
      <c r="O5" s="43">
        <f>N5/60</f>
        <v>21.127152480438003</v>
      </c>
      <c r="Q5" s="43">
        <f>('Gain-Sub-Exp'!O9)</f>
        <v>11.359789267494527</v>
      </c>
      <c r="R5" s="43">
        <f t="shared" ref="R5:R20" si="1">$R$2*N5</f>
        <v>11.801724137931023</v>
      </c>
      <c r="S5" s="43"/>
      <c r="T5" s="42">
        <f>$T$2*N5</f>
        <v>547.6</v>
      </c>
      <c r="U5" s="43">
        <f>T5/E5^2</f>
        <v>10</v>
      </c>
      <c r="W5" s="42">
        <f>C5-(L5+R5+T5)</f>
        <v>62557.626775862067</v>
      </c>
      <c r="X5" s="43">
        <f>SQRT(T5+R5+E5^2)</f>
        <v>24.782286499391677</v>
      </c>
      <c r="Y5" s="43">
        <f t="shared" ref="Y5:Y20" si="2">20*LOG(W5/X5)/6</f>
        <v>11.340462971022189</v>
      </c>
      <c r="Z5" s="43"/>
      <c r="AA5" s="43">
        <f t="shared" ref="AA5:AA20" si="3">X5/SQRT(Q5)</f>
        <v>7.352858965937096</v>
      </c>
      <c r="AC5" s="44">
        <f>LOG(SQRT(Q5)*(W5/X5))/LOG(2)</f>
        <v>13.054592849198791</v>
      </c>
      <c r="AE5" s="44">
        <f t="shared" ref="AE5:AE20" si="4">(Q5*$AE$2*N5)/SQRT(Q5*(($AE$2*N5)+T5+R5+E5^2))</f>
        <v>21.667738653716736</v>
      </c>
      <c r="AG5" s="45"/>
    </row>
    <row r="6" spans="1:34" x14ac:dyDescent="0.35">
      <c r="A6">
        <f>A5+10</f>
        <v>10</v>
      </c>
      <c r="B6" s="39">
        <f t="shared" ref="B6:B45" si="5">0.00000000039655*A6^4 - 0.00000046426*A6^3 + 0.00020865*A6^2 - 0.043964*A6 + 3.8849</f>
        <v>3.4656647055000001</v>
      </c>
      <c r="C6" s="40">
        <f t="shared" ref="C6:C45" si="6">1000*63.253*EXP(-0.012*A6)</f>
        <v>56100.378383670359</v>
      </c>
      <c r="D6" s="41">
        <f t="shared" ref="D6:D16" si="7">-0.0135*A6+ 13.092</f>
        <v>12.957000000000001</v>
      </c>
      <c r="E6" s="41">
        <f t="shared" ref="E6:E16" si="8">0.00008*A6^2 - 0.022*A6 + 7.4</f>
        <v>7.1880000000000006</v>
      </c>
      <c r="G6" s="115">
        <f t="shared" ref="G6:G45" si="9">LOG(C6/E6)/LOG(2)</f>
        <v>12.930132472202397</v>
      </c>
      <c r="I6" s="42">
        <f t="shared" ref="I6:I16" si="10">0.0004*A6^2+0.02*A6+7</f>
        <v>7.24</v>
      </c>
      <c r="J6" s="42"/>
      <c r="K6" s="43">
        <f t="shared" ref="K6:K20" si="11">5*I6</f>
        <v>36.200000000000003</v>
      </c>
      <c r="L6" s="40">
        <f t="shared" si="0"/>
        <v>125.45706233910001</v>
      </c>
      <c r="M6" s="40"/>
      <c r="N6" s="42">
        <f>'Gain-Sub-Exp'!$D$19*E6^2/$T$2</f>
        <v>1196.0378249969799</v>
      </c>
      <c r="O6" s="43">
        <f t="shared" ref="O6:O20" si="12">N6/60</f>
        <v>19.933963749949665</v>
      </c>
      <c r="Q6" s="43">
        <f>('Gain-Sub-Exp'!O10)</f>
        <v>12.039753007005745</v>
      </c>
      <c r="R6" s="43">
        <f t="shared" si="1"/>
        <v>11.135203448275853</v>
      </c>
      <c r="S6" s="43"/>
      <c r="T6" s="42">
        <f t="shared" ref="T6:T20" si="13">$T$2*N6</f>
        <v>516.67344000000003</v>
      </c>
      <c r="U6" s="43">
        <f t="shared" ref="U6:U20" si="14">T6/E6^2</f>
        <v>10</v>
      </c>
      <c r="W6" s="42">
        <f t="shared" ref="W6:W20" si="15">C6-(L6+R6+T6)</f>
        <v>55447.112677882986</v>
      </c>
      <c r="X6" s="43">
        <f t="shared" ref="X6:X20" si="16">SQRT(T6+R6+E6^2)</f>
        <v>24.072307480760458</v>
      </c>
      <c r="Y6" s="43">
        <f t="shared" si="2"/>
        <v>11.207870712534437</v>
      </c>
      <c r="Z6" s="43"/>
      <c r="AA6" s="43">
        <f t="shared" si="3"/>
        <v>6.937594842522941</v>
      </c>
      <c r="AC6" s="44">
        <f t="shared" ref="AC6:AC20" si="17">LOG(SQRT(Q6)*(W6/X6))/LOG(2)</f>
        <v>12.964389126502015</v>
      </c>
      <c r="AE6" s="44">
        <f t="shared" si="4"/>
        <v>21.667738653716736</v>
      </c>
      <c r="AG6" s="45"/>
      <c r="AH6" s="45"/>
    </row>
    <row r="7" spans="1:34" x14ac:dyDescent="0.35">
      <c r="A7">
        <f t="shared" ref="A7:A45" si="18">A6+10</f>
        <v>20</v>
      </c>
      <c r="B7" s="39">
        <f t="shared" si="5"/>
        <v>3.0854293679999998</v>
      </c>
      <c r="C7" s="40">
        <f t="shared" si="6"/>
        <v>49756.572096042706</v>
      </c>
      <c r="D7" s="41">
        <f t="shared" si="7"/>
        <v>12.822000000000001</v>
      </c>
      <c r="E7" s="41">
        <f t="shared" si="8"/>
        <v>6.9920000000000009</v>
      </c>
      <c r="G7" s="115">
        <f t="shared" si="9"/>
        <v>12.796894291305065</v>
      </c>
      <c r="I7" s="42">
        <f t="shared" si="10"/>
        <v>7.5600000000000005</v>
      </c>
      <c r="J7" s="42"/>
      <c r="K7" s="43">
        <f t="shared" si="11"/>
        <v>37.800000000000004</v>
      </c>
      <c r="L7" s="40">
        <f t="shared" si="0"/>
        <v>116.6292301104</v>
      </c>
      <c r="M7" s="40"/>
      <c r="N7" s="42">
        <f>'Gain-Sub-Exp'!$D$19*E7^2/$T$2</f>
        <v>1131.7007844427451</v>
      </c>
      <c r="O7" s="43">
        <f t="shared" si="12"/>
        <v>18.861679740712418</v>
      </c>
      <c r="Q7" s="43">
        <f>('Gain-Sub-Exp'!O11)</f>
        <v>12.724211379857467</v>
      </c>
      <c r="R7" s="43">
        <f t="shared" si="1"/>
        <v>10.536220689655163</v>
      </c>
      <c r="S7" s="43"/>
      <c r="T7" s="42">
        <f t="shared" si="13"/>
        <v>488.88064000000008</v>
      </c>
      <c r="U7" s="43">
        <f t="shared" si="14"/>
        <v>9.9999999999999982</v>
      </c>
      <c r="W7" s="42">
        <f t="shared" si="15"/>
        <v>49140.526005242653</v>
      </c>
      <c r="X7" s="43">
        <f t="shared" si="16"/>
        <v>23.415911784290085</v>
      </c>
      <c r="Y7" s="43">
        <f t="shared" si="2"/>
        <v>11.073095758693491</v>
      </c>
      <c r="Z7" s="43"/>
      <c r="AA7" s="43">
        <f t="shared" si="3"/>
        <v>6.5644090524051615</v>
      </c>
      <c r="AC7" s="44">
        <f t="shared" si="17"/>
        <v>12.869960538815944</v>
      </c>
      <c r="AE7" s="44">
        <f t="shared" si="4"/>
        <v>21.667738653716736</v>
      </c>
      <c r="AG7" s="45"/>
      <c r="AH7" s="45"/>
    </row>
    <row r="8" spans="1:34" x14ac:dyDescent="0.35">
      <c r="A8">
        <f t="shared" si="18"/>
        <v>30</v>
      </c>
      <c r="B8" s="39">
        <f t="shared" si="5"/>
        <v>2.7415511854999997</v>
      </c>
      <c r="C8" s="40">
        <f t="shared" si="6"/>
        <v>44130.120652970923</v>
      </c>
      <c r="D8" s="41">
        <f t="shared" si="7"/>
        <v>12.687000000000001</v>
      </c>
      <c r="E8" s="41">
        <f t="shared" si="8"/>
        <v>6.8120000000000003</v>
      </c>
      <c r="G8" s="115">
        <f t="shared" si="9"/>
        <v>12.661397636220446</v>
      </c>
      <c r="I8" s="42">
        <f t="shared" si="10"/>
        <v>7.96</v>
      </c>
      <c r="J8" s="42"/>
      <c r="K8" s="43">
        <f t="shared" si="11"/>
        <v>39.799999999999997</v>
      </c>
      <c r="L8" s="40">
        <f t="shared" si="0"/>
        <v>109.11373718289998</v>
      </c>
      <c r="M8" s="40"/>
      <c r="N8" s="42">
        <f>'Gain-Sub-Exp'!$D$19*E8^2/$T$2</f>
        <v>1074.1824590469882</v>
      </c>
      <c r="O8" s="43">
        <f t="shared" si="12"/>
        <v>17.903040984116469</v>
      </c>
      <c r="Q8" s="43">
        <f>('Gain-Sub-Exp'!O12)</f>
        <v>13.405543796326411</v>
      </c>
      <c r="R8" s="43">
        <f t="shared" si="1"/>
        <v>10.000720689655163</v>
      </c>
      <c r="S8" s="43"/>
      <c r="T8" s="42">
        <f t="shared" si="13"/>
        <v>464.03344000000004</v>
      </c>
      <c r="U8" s="43">
        <f t="shared" si="14"/>
        <v>10</v>
      </c>
      <c r="W8" s="42">
        <f t="shared" si="15"/>
        <v>43546.972755098366</v>
      </c>
      <c r="X8" s="43">
        <f t="shared" si="16"/>
        <v>22.813099409980559</v>
      </c>
      <c r="Y8" s="43">
        <f t="shared" si="2"/>
        <v>10.935912255617945</v>
      </c>
      <c r="Z8" s="43"/>
      <c r="AA8" s="43">
        <f t="shared" si="3"/>
        <v>6.2307750909397992</v>
      </c>
      <c r="AC8" s="44">
        <f t="shared" si="17"/>
        <v>12.77087316873148</v>
      </c>
      <c r="AE8" s="44">
        <f t="shared" si="4"/>
        <v>21.667738653716739</v>
      </c>
      <c r="AG8" s="45"/>
      <c r="AH8" s="45"/>
    </row>
    <row r="9" spans="1:34" x14ac:dyDescent="0.35">
      <c r="A9">
        <f t="shared" si="18"/>
        <v>40</v>
      </c>
      <c r="B9" s="39">
        <f t="shared" si="5"/>
        <v>2.4314825280000001</v>
      </c>
      <c r="C9" s="40">
        <f t="shared" si="6"/>
        <v>39139.90588191383</v>
      </c>
      <c r="D9" s="41">
        <f t="shared" si="7"/>
        <v>12.552</v>
      </c>
      <c r="E9" s="41">
        <f t="shared" si="8"/>
        <v>6.6480000000000006</v>
      </c>
      <c r="G9" s="115">
        <f t="shared" si="9"/>
        <v>12.523432284221968</v>
      </c>
      <c r="I9" s="42">
        <f t="shared" si="10"/>
        <v>8.44</v>
      </c>
      <c r="J9" s="42"/>
      <c r="K9" s="43">
        <f t="shared" si="11"/>
        <v>42.199999999999996</v>
      </c>
      <c r="L9" s="40">
        <f t="shared" si="0"/>
        <v>102.60856268159999</v>
      </c>
      <c r="M9" s="40"/>
      <c r="N9" s="42">
        <f>'Gain-Sub-Exp'!$D$19*E9^2/$T$2</f>
        <v>1023.0828372740687</v>
      </c>
      <c r="O9" s="43">
        <f t="shared" si="12"/>
        <v>17.051380621234479</v>
      </c>
      <c r="Q9" s="43">
        <f>('Gain-Sub-Exp'!O13)</f>
        <v>14.075106604630152</v>
      </c>
      <c r="R9" s="43">
        <f t="shared" si="1"/>
        <v>9.5249793103448201</v>
      </c>
      <c r="S9" s="43"/>
      <c r="T9" s="42">
        <f t="shared" si="13"/>
        <v>441.95904000000007</v>
      </c>
      <c r="U9" s="43">
        <f t="shared" si="14"/>
        <v>10</v>
      </c>
      <c r="W9" s="42">
        <f t="shared" si="15"/>
        <v>38585.813299921887</v>
      </c>
      <c r="X9" s="43">
        <f t="shared" si="16"/>
        <v>22.263870357831877</v>
      </c>
      <c r="Y9" s="43">
        <f t="shared" si="2"/>
        <v>10.796089980549207</v>
      </c>
      <c r="Z9" s="43"/>
      <c r="AA9" s="43">
        <f t="shared" si="3"/>
        <v>5.9343726987599572</v>
      </c>
      <c r="AC9" s="44">
        <f t="shared" si="17"/>
        <v>12.666687358487106</v>
      </c>
      <c r="AE9" s="44">
        <f t="shared" si="4"/>
        <v>21.667738653716736</v>
      </c>
      <c r="AG9" s="45"/>
      <c r="AH9" s="45"/>
    </row>
    <row r="10" spans="1:34" x14ac:dyDescent="0.35">
      <c r="A10" s="87">
        <f t="shared" si="18"/>
        <v>50</v>
      </c>
      <c r="B10" s="39">
        <f t="shared" si="5"/>
        <v>2.1527709375000001</v>
      </c>
      <c r="C10" s="40">
        <f t="shared" si="6"/>
        <v>34713.982417855448</v>
      </c>
      <c r="D10" s="41">
        <f t="shared" si="7"/>
        <v>12.417</v>
      </c>
      <c r="E10" s="41">
        <f t="shared" si="8"/>
        <v>6.5</v>
      </c>
      <c r="G10" s="115">
        <f t="shared" si="9"/>
        <v>12.382789543282456</v>
      </c>
      <c r="I10" s="42">
        <f t="shared" si="10"/>
        <v>9</v>
      </c>
      <c r="J10" s="42"/>
      <c r="K10" s="43">
        <f t="shared" si="11"/>
        <v>45</v>
      </c>
      <c r="L10" s="40">
        <f t="shared" si="0"/>
        <v>96.874692187500003</v>
      </c>
      <c r="M10" s="40"/>
      <c r="N10" s="42">
        <f>'Gain-Sub-Exp'!$D$19*E10^2/$T$2</f>
        <v>978.03746416929027</v>
      </c>
      <c r="O10" s="43">
        <f t="shared" si="12"/>
        <v>16.300624402821505</v>
      </c>
      <c r="Q10" s="43">
        <f>('Gain-Sub-Exp'!O14)</f>
        <v>14.72336237368048</v>
      </c>
      <c r="R10" s="43">
        <f t="shared" si="1"/>
        <v>9.1056034482758523</v>
      </c>
      <c r="S10" s="43"/>
      <c r="T10" s="42">
        <f t="shared" si="13"/>
        <v>422.5</v>
      </c>
      <c r="U10" s="43">
        <f t="shared" si="14"/>
        <v>10</v>
      </c>
      <c r="W10" s="42">
        <f t="shared" si="15"/>
        <v>34185.502122219674</v>
      </c>
      <c r="X10" s="43">
        <f t="shared" si="16"/>
        <v>21.768224627844042</v>
      </c>
      <c r="Y10" s="43">
        <f t="shared" si="2"/>
        <v>10.653396509869191</v>
      </c>
      <c r="Z10" s="43"/>
      <c r="AA10" s="43">
        <f t="shared" si="3"/>
        <v>5.6730878617757909</v>
      </c>
      <c r="AC10" s="44">
        <f t="shared" si="17"/>
        <v>12.556962787691592</v>
      </c>
      <c r="AE10" s="44">
        <f t="shared" si="4"/>
        <v>21.667738653716739</v>
      </c>
      <c r="AG10" s="45"/>
      <c r="AH10" s="45"/>
    </row>
    <row r="11" spans="1:34" x14ac:dyDescent="0.35">
      <c r="A11">
        <f t="shared" si="18"/>
        <v>60</v>
      </c>
      <c r="B11" s="39">
        <f t="shared" si="5"/>
        <v>1.9030591279999998</v>
      </c>
      <c r="C11" s="40">
        <f t="shared" si="6"/>
        <v>30788.540446236089</v>
      </c>
      <c r="D11" s="41">
        <f t="shared" si="7"/>
        <v>12.282</v>
      </c>
      <c r="E11" s="41">
        <f t="shared" si="8"/>
        <v>6.3680000000000003</v>
      </c>
      <c r="G11" s="115">
        <f t="shared" si="9"/>
        <v>12.239265520635312</v>
      </c>
      <c r="I11" s="42">
        <f t="shared" si="10"/>
        <v>9.64</v>
      </c>
      <c r="J11" s="42"/>
      <c r="K11" s="43">
        <f t="shared" si="11"/>
        <v>48.2</v>
      </c>
      <c r="L11" s="40">
        <f t="shared" si="0"/>
        <v>91.727449969599988</v>
      </c>
      <c r="M11" s="40"/>
      <c r="N11" s="42">
        <f>'Gain-Sub-Exp'!$D$19*E11^2/$T$2</f>
        <v>938.71744135890413</v>
      </c>
      <c r="O11" s="43">
        <f t="shared" si="12"/>
        <v>15.645290689315068</v>
      </c>
      <c r="Q11" s="43">
        <f>('Gain-Sub-Exp'!O15)</f>
        <v>15.340079309865921</v>
      </c>
      <c r="R11" s="43">
        <f t="shared" si="1"/>
        <v>8.7395310344827504</v>
      </c>
      <c r="S11" s="43"/>
      <c r="T11" s="42">
        <f t="shared" si="13"/>
        <v>405.51424000000003</v>
      </c>
      <c r="U11" s="43">
        <f t="shared" si="14"/>
        <v>10</v>
      </c>
      <c r="W11" s="42">
        <f t="shared" si="15"/>
        <v>30282.559225232006</v>
      </c>
      <c r="X11" s="43">
        <f t="shared" si="16"/>
        <v>21.326162220017057</v>
      </c>
      <c r="Y11" s="43">
        <f t="shared" si="2"/>
        <v>10.507599556235443</v>
      </c>
      <c r="Z11" s="43"/>
      <c r="AA11" s="43">
        <f t="shared" si="3"/>
        <v>5.4450128111745206</v>
      </c>
      <c r="AC11" s="44">
        <f t="shared" si="17"/>
        <v>12.441264071023642</v>
      </c>
      <c r="AE11" s="44">
        <f t="shared" si="4"/>
        <v>21.667738653716736</v>
      </c>
      <c r="AG11" s="45"/>
      <c r="AH11" s="45"/>
    </row>
    <row r="12" spans="1:34" x14ac:dyDescent="0.35">
      <c r="A12">
        <f t="shared" si="18"/>
        <v>70</v>
      </c>
      <c r="B12" s="39">
        <f t="shared" si="5"/>
        <v>1.6800849854999997</v>
      </c>
      <c r="C12" s="40">
        <f t="shared" si="6"/>
        <v>27306.985738459582</v>
      </c>
      <c r="D12" s="41">
        <f t="shared" si="7"/>
        <v>12.147</v>
      </c>
      <c r="E12" s="41">
        <f t="shared" si="8"/>
        <v>6.2520000000000007</v>
      </c>
      <c r="G12" s="115">
        <f t="shared" si="9"/>
        <v>12.092664673272623</v>
      </c>
      <c r="I12" s="42">
        <f t="shared" si="10"/>
        <v>10.36</v>
      </c>
      <c r="J12" s="42"/>
      <c r="K12" s="43">
        <f t="shared" si="11"/>
        <v>51.8</v>
      </c>
      <c r="L12" s="40">
        <f t="shared" si="0"/>
        <v>87.02840224889998</v>
      </c>
      <c r="M12" s="40"/>
      <c r="N12" s="42">
        <f>'Gain-Sub-Exp'!$D$19*E12^2/$T$2</f>
        <v>904.82942705010657</v>
      </c>
      <c r="O12" s="43">
        <f t="shared" si="12"/>
        <v>15.080490450835109</v>
      </c>
      <c r="Q12" s="43">
        <f>('Gain-Sub-Exp'!O16)</f>
        <v>15.914601768585687</v>
      </c>
      <c r="R12" s="43">
        <f t="shared" si="1"/>
        <v>8.424031034482752</v>
      </c>
      <c r="S12" s="43"/>
      <c r="T12" s="42">
        <f t="shared" si="13"/>
        <v>390.87504000000013</v>
      </c>
      <c r="U12" s="43">
        <f t="shared" si="14"/>
        <v>10</v>
      </c>
      <c r="W12" s="42">
        <f t="shared" si="15"/>
        <v>26820.6582651762</v>
      </c>
      <c r="X12" s="43">
        <f t="shared" si="16"/>
        <v>20.93768313435092</v>
      </c>
      <c r="Y12" s="43">
        <f t="shared" si="2"/>
        <v>10.358469365382156</v>
      </c>
      <c r="Z12" s="43"/>
      <c r="AA12" s="43">
        <f t="shared" si="3"/>
        <v>5.2484460234204198</v>
      </c>
      <c r="AC12" s="44">
        <f t="shared" si="17"/>
        <v>12.319166697330191</v>
      </c>
      <c r="AE12" s="44">
        <f t="shared" si="4"/>
        <v>21.667738653716739</v>
      </c>
      <c r="AG12" s="45"/>
      <c r="AH12" s="45"/>
    </row>
    <row r="13" spans="1:34" x14ac:dyDescent="0.35">
      <c r="A13">
        <f t="shared" si="18"/>
        <v>80</v>
      </c>
      <c r="B13" s="39">
        <f t="shared" si="5"/>
        <v>1.4816815679999999</v>
      </c>
      <c r="C13" s="40">
        <f t="shared" si="6"/>
        <v>24219.123716583763</v>
      </c>
      <c r="D13" s="41">
        <f t="shared" si="7"/>
        <v>12.012</v>
      </c>
      <c r="E13" s="41">
        <f t="shared" si="8"/>
        <v>6.152000000000001</v>
      </c>
      <c r="G13" s="115">
        <f t="shared" si="9"/>
        <v>11.942803543403784</v>
      </c>
      <c r="I13" s="42">
        <f t="shared" si="10"/>
        <v>11.16</v>
      </c>
      <c r="J13" s="42"/>
      <c r="K13" s="43">
        <f t="shared" si="11"/>
        <v>55.8</v>
      </c>
      <c r="L13" s="40">
        <f t="shared" si="0"/>
        <v>82.677831494399996</v>
      </c>
      <c r="M13" s="40"/>
      <c r="N13" s="42">
        <f>'Gain-Sub-Exp'!$D$19*E13^2/$T$2</f>
        <v>876.11563603103946</v>
      </c>
      <c r="O13" s="43">
        <f t="shared" si="12"/>
        <v>14.60192726718399</v>
      </c>
      <c r="Q13" s="43">
        <f>('Gain-Sub-Exp'!O17)</f>
        <v>16.436186512130494</v>
      </c>
      <c r="R13" s="43">
        <f t="shared" si="1"/>
        <v>8.1567034482758576</v>
      </c>
      <c r="S13" s="43"/>
      <c r="T13" s="42">
        <f t="shared" si="13"/>
        <v>378.47104000000013</v>
      </c>
      <c r="U13" s="43">
        <f t="shared" si="14"/>
        <v>10</v>
      </c>
      <c r="W13" s="42">
        <f t="shared" si="15"/>
        <v>23749.818141641088</v>
      </c>
      <c r="X13" s="43">
        <f t="shared" si="16"/>
        <v>20.602787370845626</v>
      </c>
      <c r="Y13" s="43">
        <f t="shared" si="2"/>
        <v>10.205781026701061</v>
      </c>
      <c r="Z13" s="43"/>
      <c r="AA13" s="43">
        <f t="shared" si="3"/>
        <v>5.0818922202548187</v>
      </c>
      <c r="AC13" s="44">
        <f t="shared" si="17"/>
        <v>12.190263067760107</v>
      </c>
      <c r="AE13" s="44">
        <f t="shared" si="4"/>
        <v>21.667738653716736</v>
      </c>
      <c r="AG13" s="45"/>
      <c r="AH13" s="45"/>
    </row>
    <row r="14" spans="1:34" x14ac:dyDescent="0.35">
      <c r="A14">
        <f t="shared" si="18"/>
        <v>90</v>
      </c>
      <c r="B14" s="39">
        <f t="shared" si="5"/>
        <v>1.3057771054999998</v>
      </c>
      <c r="C14" s="40">
        <f t="shared" si="6"/>
        <v>21480.435783619334</v>
      </c>
      <c r="D14" s="41">
        <f t="shared" si="7"/>
        <v>11.877000000000001</v>
      </c>
      <c r="E14" s="41">
        <f t="shared" si="8"/>
        <v>6.0680000000000005</v>
      </c>
      <c r="G14" s="115">
        <f t="shared" si="9"/>
        <v>11.789514556211902</v>
      </c>
      <c r="I14" s="42">
        <f t="shared" si="10"/>
        <v>12.04</v>
      </c>
      <c r="J14" s="42"/>
      <c r="K14" s="43">
        <f t="shared" si="11"/>
        <v>60.199999999999996</v>
      </c>
      <c r="L14" s="40">
        <f t="shared" si="0"/>
        <v>78.607781751099978</v>
      </c>
      <c r="M14" s="40"/>
      <c r="N14" s="42">
        <f>'Gain-Sub-Exp'!$D$19*E14^2/$T$2</f>
        <v>852.35383967079099</v>
      </c>
      <c r="O14" s="43">
        <f t="shared" si="12"/>
        <v>14.205897327846516</v>
      </c>
      <c r="Q14" s="43">
        <f>('Gain-Sub-Exp'!O18)</f>
        <v>16.894392128932964</v>
      </c>
      <c r="R14" s="43">
        <f t="shared" si="1"/>
        <v>7.9354793103448218</v>
      </c>
      <c r="S14" s="43"/>
      <c r="T14" s="42">
        <f t="shared" si="13"/>
        <v>368.20624000000009</v>
      </c>
      <c r="U14" s="43">
        <f t="shared" si="14"/>
        <v>10</v>
      </c>
      <c r="W14" s="42">
        <f t="shared" si="15"/>
        <v>21025.68628255789</v>
      </c>
      <c r="X14" s="43">
        <f t="shared" si="16"/>
        <v>20.321474929501179</v>
      </c>
      <c r="Y14" s="43">
        <f t="shared" si="2"/>
        <v>10.049316514590133</v>
      </c>
      <c r="Z14" s="43"/>
      <c r="AA14" s="43">
        <f t="shared" si="3"/>
        <v>4.9440623686961045</v>
      </c>
      <c r="AC14" s="44">
        <f t="shared" si="17"/>
        <v>12.054168327884659</v>
      </c>
      <c r="AE14" s="44">
        <f t="shared" si="4"/>
        <v>21.667738653716739</v>
      </c>
      <c r="AG14" s="45"/>
      <c r="AH14" s="45"/>
    </row>
    <row r="15" spans="1:34" x14ac:dyDescent="0.35">
      <c r="A15" s="33">
        <f t="shared" si="18"/>
        <v>100</v>
      </c>
      <c r="B15" s="39">
        <f t="shared" si="5"/>
        <v>1.1503950000000001</v>
      </c>
      <c r="C15" s="40">
        <f t="shared" si="6"/>
        <v>19051.437486082523</v>
      </c>
      <c r="D15" s="41">
        <f t="shared" si="7"/>
        <v>11.742000000000001</v>
      </c>
      <c r="E15" s="41">
        <f t="shared" si="8"/>
        <v>6.0000000000000009</v>
      </c>
      <c r="G15" s="115">
        <f t="shared" si="9"/>
        <v>11.632649736169014</v>
      </c>
      <c r="I15" s="42">
        <f t="shared" si="10"/>
        <v>13</v>
      </c>
      <c r="J15" s="42"/>
      <c r="K15" s="43">
        <f t="shared" si="11"/>
        <v>65</v>
      </c>
      <c r="L15" s="40">
        <f t="shared" si="0"/>
        <v>74.775675000000007</v>
      </c>
      <c r="M15" s="40"/>
      <c r="N15" s="42">
        <f>'Gain-Sub-Exp'!$D$19*E15^2/$T$2</f>
        <v>833.35736591939553</v>
      </c>
      <c r="O15" s="43">
        <f t="shared" si="12"/>
        <v>13.889289431989926</v>
      </c>
      <c r="Q15" s="43">
        <f>('Gain-Sub-Exp'!O19)</f>
        <v>17.279501674666669</v>
      </c>
      <c r="R15" s="43">
        <f t="shared" si="1"/>
        <v>7.7586206896551673</v>
      </c>
      <c r="S15" s="43"/>
      <c r="T15" s="42">
        <f t="shared" si="13"/>
        <v>360.00000000000011</v>
      </c>
      <c r="U15" s="43">
        <f t="shared" si="14"/>
        <v>10</v>
      </c>
      <c r="W15" s="42">
        <f t="shared" si="15"/>
        <v>18608.903190392866</v>
      </c>
      <c r="X15" s="43">
        <f t="shared" si="16"/>
        <v>20.093745810317579</v>
      </c>
      <c r="Y15" s="43">
        <f t="shared" si="2"/>
        <v>9.8888662416581372</v>
      </c>
      <c r="Z15" s="43"/>
      <c r="AA15" s="43">
        <f t="shared" si="3"/>
        <v>4.8338736810397283</v>
      </c>
      <c r="AC15" s="44">
        <f t="shared" si="17"/>
        <v>11.910525631902907</v>
      </c>
      <c r="AE15" s="44">
        <f t="shared" si="4"/>
        <v>21.667738653716736</v>
      </c>
      <c r="AG15" s="45"/>
      <c r="AH15" s="45"/>
    </row>
    <row r="16" spans="1:34" x14ac:dyDescent="0.35">
      <c r="A16">
        <f t="shared" si="18"/>
        <v>110</v>
      </c>
      <c r="B16" s="39">
        <f t="shared" si="5"/>
        <v>1.0136538254999996</v>
      </c>
      <c r="C16" s="40">
        <f t="shared" si="6"/>
        <v>16897.10925524593</v>
      </c>
      <c r="D16" s="41">
        <f t="shared" si="7"/>
        <v>11.607000000000001</v>
      </c>
      <c r="E16" s="41">
        <f t="shared" si="8"/>
        <v>5.9480000000000004</v>
      </c>
      <c r="G16" s="115">
        <f t="shared" si="9"/>
        <v>11.472084184593164</v>
      </c>
      <c r="I16" s="42">
        <f t="shared" si="10"/>
        <v>14.04</v>
      </c>
      <c r="J16" s="42"/>
      <c r="K16" s="43">
        <f t="shared" si="11"/>
        <v>70.199999999999989</v>
      </c>
      <c r="L16" s="40">
        <f t="shared" si="0"/>
        <v>71.158498550099964</v>
      </c>
      <c r="M16" s="40"/>
      <c r="N16" s="42">
        <f>'Gain-Sub-Exp'!$D$19*E16^2/$T$2</f>
        <v>818.97509930783269</v>
      </c>
      <c r="O16" s="43">
        <f t="shared" si="12"/>
        <v>13.649584988463879</v>
      </c>
      <c r="Q16" s="43">
        <f>('Gain-Sub-Exp'!O20)</f>
        <v>17.582952170548708</v>
      </c>
      <c r="R16" s="43">
        <f t="shared" si="1"/>
        <v>7.6247206896551658</v>
      </c>
      <c r="S16" s="43"/>
      <c r="T16" s="42">
        <f t="shared" si="13"/>
        <v>353.78704000000005</v>
      </c>
      <c r="U16" s="43">
        <f t="shared" si="14"/>
        <v>10</v>
      </c>
      <c r="W16" s="42">
        <f t="shared" si="15"/>
        <v>16464.538996006177</v>
      </c>
      <c r="X16" s="43">
        <f t="shared" si="16"/>
        <v>19.919600013294826</v>
      </c>
      <c r="Y16" s="43">
        <f t="shared" si="2"/>
        <v>9.7242298717904667</v>
      </c>
      <c r="Z16" s="43"/>
      <c r="AA16" s="43">
        <f t="shared" si="3"/>
        <v>4.7504496148581934</v>
      </c>
      <c r="AC16" s="44">
        <f t="shared" si="17"/>
        <v>11.759010430482627</v>
      </c>
      <c r="AE16" s="44">
        <f t="shared" si="4"/>
        <v>21.667738653716739</v>
      </c>
      <c r="AG16" s="45"/>
      <c r="AH16" s="45"/>
    </row>
    <row r="17" spans="1:34" s="120" customFormat="1" x14ac:dyDescent="0.35">
      <c r="A17" s="87">
        <f t="shared" si="18"/>
        <v>120</v>
      </c>
      <c r="B17" s="116">
        <f t="shared" si="5"/>
        <v>0.89376732799999958</v>
      </c>
      <c r="C17" s="117">
        <f t="shared" si="6"/>
        <v>14986.391519920247</v>
      </c>
      <c r="D17" s="118">
        <f>-0.0148*A17 + 14.78</f>
        <v>13.004</v>
      </c>
      <c r="E17" s="118">
        <f>0.0000082614*A17^2 - 0.0056706*A17 + 2.2955</f>
        <v>1.7339921600000001</v>
      </c>
      <c r="F17" s="119"/>
      <c r="G17" s="115">
        <f t="shared" si="9"/>
        <v>13.077268051443653</v>
      </c>
      <c r="H17" s="119"/>
      <c r="I17" s="117">
        <f>3.7488*EXP(0.0061*A17)</f>
        <v>7.7946358749144844</v>
      </c>
      <c r="J17" s="117"/>
      <c r="K17" s="118">
        <f t="shared" si="11"/>
        <v>38.973179374572425</v>
      </c>
      <c r="L17" s="117">
        <f t="shared" si="0"/>
        <v>34.832954393276289</v>
      </c>
      <c r="M17" s="117"/>
      <c r="N17" s="117">
        <f>'Gain-Sub-Exp'!$D$19*E17^2/$T$2</f>
        <v>69.602211164448207</v>
      </c>
      <c r="O17" s="118">
        <f t="shared" si="12"/>
        <v>1.1600368527408034</v>
      </c>
      <c r="Q17" s="118">
        <f>('Gain-Sub-Exp'!O21)</f>
        <v>206.88997891140721</v>
      </c>
      <c r="R17" s="118">
        <f t="shared" si="1"/>
        <v>0.64800189890979798</v>
      </c>
      <c r="S17" s="118"/>
      <c r="T17" s="117">
        <f t="shared" si="13"/>
        <v>30.067288109414658</v>
      </c>
      <c r="U17" s="118">
        <f t="shared" si="14"/>
        <v>10</v>
      </c>
      <c r="W17" s="117">
        <f t="shared" si="15"/>
        <v>14920.843275518646</v>
      </c>
      <c r="X17" s="118">
        <f t="shared" si="16"/>
        <v>5.8070662833539206</v>
      </c>
      <c r="Y17" s="118">
        <f t="shared" si="2"/>
        <v>11.366121951574277</v>
      </c>
      <c r="Z17" s="118"/>
      <c r="AA17" s="118">
        <f t="shared" si="3"/>
        <v>0.40372631292316175</v>
      </c>
      <c r="AC17" s="121">
        <f>LOG(SQRT(Q17)*(W17/X17))/LOG(2)</f>
        <v>15.173591930821855</v>
      </c>
      <c r="AE17" s="121">
        <f t="shared" si="4"/>
        <v>21.667738653716739</v>
      </c>
      <c r="AG17" s="122"/>
      <c r="AH17" s="122"/>
    </row>
    <row r="18" spans="1:34" x14ac:dyDescent="0.35">
      <c r="A18" s="33">
        <f t="shared" si="18"/>
        <v>130</v>
      </c>
      <c r="B18" s="39">
        <f t="shared" si="5"/>
        <v>0.78904442549999976</v>
      </c>
      <c r="C18" s="40">
        <f t="shared" si="6"/>
        <v>13291.73691166197</v>
      </c>
      <c r="D18" s="41">
        <f>-0.0148*A18 + 14.78</f>
        <v>12.856</v>
      </c>
      <c r="E18" s="41">
        <f>0.0000082614*A18^2 - 0.0056706*A18 + 2.2955</f>
        <v>1.6979396600000001</v>
      </c>
      <c r="G18" s="115">
        <f t="shared" si="9"/>
        <v>12.934456831692351</v>
      </c>
      <c r="I18" s="42">
        <f t="shared" ref="I18:I45" si="19">3.7488*EXP(0.0061*A18)</f>
        <v>8.2849100079311651</v>
      </c>
      <c r="J18" s="42"/>
      <c r="K18" s="43">
        <f t="shared" si="11"/>
        <v>41.424550039655827</v>
      </c>
      <c r="L18" s="40">
        <f t="shared" si="0"/>
        <v>32.685810287636222</v>
      </c>
      <c r="M18" s="40"/>
      <c r="N18" s="42">
        <f>'Gain-Sub-Exp'!$D$19*E18^2/$T$2</f>
        <v>66.738014632161651</v>
      </c>
      <c r="O18" s="43">
        <f t="shared" si="12"/>
        <v>1.1123002438693608</v>
      </c>
      <c r="Q18" s="43">
        <f>('Gain-Sub-Exp'!O22)</f>
        <v>215.76907972717115</v>
      </c>
      <c r="R18" s="43">
        <f t="shared" si="1"/>
        <v>0.62133601056054155</v>
      </c>
      <c r="S18" s="43"/>
      <c r="T18" s="42">
        <f t="shared" si="13"/>
        <v>28.829990890009157</v>
      </c>
      <c r="U18" s="43">
        <f t="shared" si="14"/>
        <v>10</v>
      </c>
      <c r="W18" s="42">
        <f t="shared" si="15"/>
        <v>13229.599774473765</v>
      </c>
      <c r="X18" s="43">
        <f t="shared" si="16"/>
        <v>5.686327988216175</v>
      </c>
      <c r="Y18" s="43">
        <f t="shared" si="2"/>
        <v>11.222382665812944</v>
      </c>
      <c r="Z18" s="43"/>
      <c r="AA18" s="43">
        <f t="shared" si="3"/>
        <v>0.38711259496619543</v>
      </c>
      <c r="AC18" s="44">
        <f t="shared" si="17"/>
        <v>15.060656644464348</v>
      </c>
      <c r="AE18" s="44">
        <f t="shared" si="4"/>
        <v>21.667738653716739</v>
      </c>
      <c r="AG18" s="45"/>
      <c r="AH18" s="45"/>
    </row>
    <row r="19" spans="1:34" x14ac:dyDescent="0.35">
      <c r="A19">
        <f t="shared" si="18"/>
        <v>140</v>
      </c>
      <c r="B19" s="39">
        <f t="shared" si="5"/>
        <v>0.69788920799999943</v>
      </c>
      <c r="C19" s="40">
        <f t="shared" si="6"/>
        <v>11788.713106420799</v>
      </c>
      <c r="D19" s="41">
        <f t="shared" ref="D19:D45" si="20">-0.0148*A19 + 14.78</f>
        <v>12.707999999999998</v>
      </c>
      <c r="E19" s="41">
        <f t="shared" ref="E19:E45" si="21">0.0000082614*A19^2 - 0.0056706*A19 + 2.2955</f>
        <v>1.6635394400000001</v>
      </c>
      <c r="G19" s="115">
        <f t="shared" si="9"/>
        <v>12.790862546523362</v>
      </c>
      <c r="I19" s="42">
        <f t="shared" si="19"/>
        <v>8.8060218515686621</v>
      </c>
      <c r="J19" s="42"/>
      <c r="K19" s="43">
        <f t="shared" si="11"/>
        <v>44.030109257843307</v>
      </c>
      <c r="L19" s="40">
        <f t="shared" si="0"/>
        <v>30.728138078109708</v>
      </c>
      <c r="M19" s="40"/>
      <c r="N19" s="42">
        <f>'Gain-Sub-Exp'!$D$19*E19^2/$T$2</f>
        <v>64.061186961027261</v>
      </c>
      <c r="O19" s="43">
        <f t="shared" si="12"/>
        <v>1.0676864493504543</v>
      </c>
      <c r="Q19" s="43">
        <f>('Gain-Sub-Exp'!O23)</f>
        <v>224.78509504921431</v>
      </c>
      <c r="R19" s="43">
        <f t="shared" si="1"/>
        <v>0.59641454061110155</v>
      </c>
      <c r="S19" s="43"/>
      <c r="T19" s="42">
        <f t="shared" si="13"/>
        <v>27.67363468435514</v>
      </c>
      <c r="U19" s="43">
        <f t="shared" si="14"/>
        <v>10</v>
      </c>
      <c r="W19" s="42">
        <f t="shared" si="15"/>
        <v>11729.714919117723</v>
      </c>
      <c r="X19" s="43">
        <f t="shared" si="16"/>
        <v>5.5711231087996751</v>
      </c>
      <c r="Y19" s="43">
        <f t="shared" si="2"/>
        <v>11.077815672074053</v>
      </c>
      <c r="Z19" s="43"/>
      <c r="AA19" s="43">
        <f t="shared" si="3"/>
        <v>0.37158570655392342</v>
      </c>
      <c r="AC19" s="44">
        <f t="shared" si="17"/>
        <v>14.946113416773644</v>
      </c>
      <c r="AE19" s="44">
        <f t="shared" si="4"/>
        <v>21.667738653716739</v>
      </c>
      <c r="AG19" s="45"/>
      <c r="AH19" s="45"/>
    </row>
    <row r="20" spans="1:34" x14ac:dyDescent="0.35">
      <c r="A20" s="33">
        <f t="shared" si="18"/>
        <v>150</v>
      </c>
      <c r="B20" s="39">
        <f t="shared" si="5"/>
        <v>0.61880093749999965</v>
      </c>
      <c r="C20" s="40">
        <f t="shared" si="6"/>
        <v>10455.650576680013</v>
      </c>
      <c r="D20" s="41">
        <f t="shared" si="20"/>
        <v>12.559999999999999</v>
      </c>
      <c r="E20" s="41">
        <f t="shared" si="21"/>
        <v>1.6307915000000002</v>
      </c>
      <c r="G20" s="115">
        <f t="shared" si="9"/>
        <v>12.646422870003056</v>
      </c>
      <c r="I20" s="42">
        <f t="shared" si="19"/>
        <v>9.3599110643410448</v>
      </c>
      <c r="J20" s="42"/>
      <c r="K20" s="43">
        <f t="shared" si="11"/>
        <v>46.799555321705228</v>
      </c>
      <c r="L20" s="40">
        <f t="shared" si="0"/>
        <v>28.959608707654294</v>
      </c>
      <c r="M20" s="40"/>
      <c r="N20" s="42">
        <f>'Gain-Sub-Exp'!$D$19*E20^2/$T$2</f>
        <v>61.563833646228169</v>
      </c>
      <c r="O20" s="43">
        <f t="shared" si="12"/>
        <v>1.0260638941038027</v>
      </c>
      <c r="Q20" s="43">
        <f>('Gain-Sub-Exp'!O24)</f>
        <v>233.90356232115909</v>
      </c>
      <c r="R20" s="43">
        <f t="shared" si="1"/>
        <v>0.5731639906190189</v>
      </c>
      <c r="S20" s="43"/>
      <c r="T20" s="42">
        <f t="shared" si="13"/>
        <v>26.594809164722506</v>
      </c>
      <c r="U20" s="43">
        <f t="shared" si="14"/>
        <v>10</v>
      </c>
      <c r="W20" s="42">
        <f t="shared" si="15"/>
        <v>10399.522994817016</v>
      </c>
      <c r="X20" s="43">
        <f t="shared" si="16"/>
        <v>5.4614516451044199</v>
      </c>
      <c r="Y20" s="43">
        <f t="shared" si="2"/>
        <v>10.932351089051226</v>
      </c>
      <c r="Z20" s="43"/>
      <c r="AA20" s="43">
        <f t="shared" si="3"/>
        <v>0.35709985576007286</v>
      </c>
      <c r="AC20" s="44">
        <f t="shared" si="17"/>
        <v>14.829830279613631</v>
      </c>
      <c r="AE20" s="44">
        <f t="shared" si="4"/>
        <v>21.667738653716736</v>
      </c>
      <c r="AG20" s="45"/>
      <c r="AH20" s="45"/>
    </row>
    <row r="21" spans="1:34" x14ac:dyDescent="0.35">
      <c r="A21">
        <f t="shared" si="18"/>
        <v>160</v>
      </c>
      <c r="B21" s="39">
        <f t="shared" si="5"/>
        <v>0.55037404800000012</v>
      </c>
      <c r="C21" s="40">
        <f t="shared" si="6"/>
        <v>9273.3301756310375</v>
      </c>
      <c r="D21" s="41">
        <f t="shared" si="20"/>
        <v>12.411999999999999</v>
      </c>
      <c r="E21" s="41">
        <f t="shared" si="21"/>
        <v>1.5996958400000003</v>
      </c>
      <c r="G21" s="115">
        <f t="shared" si="9"/>
        <v>12.501074184736121</v>
      </c>
      <c r="I21" s="42">
        <f t="shared" si="19"/>
        <v>9.9486393071768138</v>
      </c>
      <c r="J21" s="42"/>
      <c r="K21" s="43">
        <f t="shared" ref="K21:K45" si="22">5*I21</f>
        <v>49.743196535884067</v>
      </c>
      <c r="L21" s="40">
        <f t="shared" ref="L21:L45" si="23">K21*B21</f>
        <v>27.377364437914096</v>
      </c>
      <c r="M21" s="40"/>
      <c r="N21" s="42">
        <f>'Gain-Sub-Exp'!$D$19*E21^2/$T$2</f>
        <v>59.238439364604439</v>
      </c>
      <c r="O21" s="43">
        <f t="shared" ref="O21:O45" si="24">N21/60</f>
        <v>0.98730732274340727</v>
      </c>
      <c r="Q21" s="43">
        <f>('Gain-Sub-Exp'!O25)</f>
        <v>243.08540458620092</v>
      </c>
      <c r="R21" s="43">
        <f t="shared" ref="R21:R45" si="25">$R$2*N21</f>
        <v>0.55151439235200517</v>
      </c>
      <c r="S21" s="43"/>
      <c r="T21" s="42">
        <f t="shared" ref="T21:T45" si="26">$T$2*N21</f>
        <v>25.590267805133067</v>
      </c>
      <c r="U21" s="43">
        <f t="shared" ref="U21:U45" si="27">T21/E21^2</f>
        <v>10</v>
      </c>
      <c r="W21" s="42">
        <f t="shared" ref="W21:W45" si="28">C21-(L21+R21+T21)</f>
        <v>9219.8110289956385</v>
      </c>
      <c r="X21" s="43">
        <f t="shared" ref="X21:X45" si="29">SQRT(T21+R21+E21^2)</f>
        <v>5.3573135971304104</v>
      </c>
      <c r="Y21" s="43">
        <f t="shared" ref="Y21:Y45" si="30">20*LOG(W21/X21)/6</f>
        <v>10.785916502227925</v>
      </c>
      <c r="Z21" s="43"/>
      <c r="AA21" s="43">
        <f t="shared" ref="AA21:AA45" si="31">X21/SQRT(Q21)</f>
        <v>0.3436114500944194</v>
      </c>
      <c r="AC21" s="44">
        <f t="shared" ref="AC21:AC45" si="32">LOG(SQRT(Q21)*(W21/X21))/LOG(2)</f>
        <v>14.711671448843909</v>
      </c>
      <c r="AE21" s="44">
        <f t="shared" ref="AE21:AE45" si="33">(Q21*$AE$2*N21)/SQRT(Q21*(($AE$2*N21)+T21+R21+E21^2))</f>
        <v>21.667738653716739</v>
      </c>
      <c r="AG21" s="45"/>
      <c r="AH21" s="45"/>
    </row>
    <row r="22" spans="1:34" x14ac:dyDescent="0.35">
      <c r="A22">
        <f t="shared" si="18"/>
        <v>170</v>
      </c>
      <c r="B22" s="39">
        <f t="shared" si="5"/>
        <v>0.49129814549999917</v>
      </c>
      <c r="C22" s="40">
        <f t="shared" si="6"/>
        <v>8224.7060491930733</v>
      </c>
      <c r="D22" s="41">
        <f t="shared" si="20"/>
        <v>12.263999999999999</v>
      </c>
      <c r="E22" s="41">
        <f t="shared" si="21"/>
        <v>1.5702524600000003</v>
      </c>
      <c r="G22" s="115">
        <f t="shared" si="9"/>
        <v>12.354751873038524</v>
      </c>
      <c r="I22" s="42">
        <f t="shared" si="19"/>
        <v>10.574397917238285</v>
      </c>
      <c r="J22" s="42"/>
      <c r="K22" s="43">
        <f t="shared" si="22"/>
        <v>52.871989586191425</v>
      </c>
      <c r="L22" s="40">
        <f t="shared" si="23"/>
        <v>25.975910432591117</v>
      </c>
      <c r="M22" s="40"/>
      <c r="N22" s="42">
        <f>'Gain-Sub-Exp'!$D$19*E22^2/$T$2</f>
        <v>57.077867974653067</v>
      </c>
      <c r="O22" s="43">
        <f t="shared" si="24"/>
        <v>0.95129779957755112</v>
      </c>
      <c r="Q22" s="43">
        <f>('Gain-Sub-Exp'!O26)</f>
        <v>252.28692855862627</v>
      </c>
      <c r="R22" s="43">
        <f t="shared" si="25"/>
        <v>0.53139930778794187</v>
      </c>
      <c r="S22" s="43"/>
      <c r="T22" s="42">
        <f t="shared" si="26"/>
        <v>24.656927881360527</v>
      </c>
      <c r="U22" s="43">
        <f t="shared" si="27"/>
        <v>10</v>
      </c>
      <c r="W22" s="42">
        <f t="shared" si="28"/>
        <v>8173.5418115713337</v>
      </c>
      <c r="X22" s="43">
        <f t="shared" si="29"/>
        <v>5.2587089648776457</v>
      </c>
      <c r="Y22" s="43">
        <f t="shared" si="30"/>
        <v>10.638437174892561</v>
      </c>
      <c r="Z22" s="43"/>
      <c r="AA22" s="43">
        <f t="shared" si="31"/>
        <v>0.33107909650278688</v>
      </c>
      <c r="AC22" s="44">
        <f t="shared" si="32"/>
        <v>14.591497825785858</v>
      </c>
      <c r="AE22" s="44">
        <f t="shared" si="33"/>
        <v>21.667738653716736</v>
      </c>
      <c r="AG22" s="45"/>
      <c r="AH22" s="45"/>
    </row>
    <row r="23" spans="1:34" x14ac:dyDescent="0.35">
      <c r="A23">
        <f t="shared" si="18"/>
        <v>180</v>
      </c>
      <c r="B23" s="39">
        <f t="shared" si="5"/>
        <v>0.44035800799999958</v>
      </c>
      <c r="C23" s="40">
        <f t="shared" si="6"/>
        <v>7294.6598810205678</v>
      </c>
      <c r="D23" s="41">
        <f t="shared" si="20"/>
        <v>12.116</v>
      </c>
      <c r="E23" s="41">
        <f t="shared" si="21"/>
        <v>1.5424613600000001</v>
      </c>
      <c r="G23" s="115">
        <f t="shared" si="9"/>
        <v>12.207390648576247</v>
      </c>
      <c r="I23" s="42">
        <f t="shared" si="19"/>
        <v>11.239516064415911</v>
      </c>
      <c r="J23" s="42"/>
      <c r="K23" s="43">
        <f t="shared" si="22"/>
        <v>56.197580322079553</v>
      </c>
      <c r="L23" s="40">
        <f t="shared" si="23"/>
        <v>24.747054525050928</v>
      </c>
      <c r="M23" s="40"/>
      <c r="N23" s="42">
        <f>'Gain-Sub-Exp'!$D$19*E23^2/$T$2</f>
        <v>55.075362516528003</v>
      </c>
      <c r="O23" s="43">
        <f t="shared" si="24"/>
        <v>0.9179227086088001</v>
      </c>
      <c r="Q23" s="43">
        <f>('Gain-Sub-Exp'!O27)</f>
        <v>261.45992222345495</v>
      </c>
      <c r="R23" s="43">
        <f t="shared" si="25"/>
        <v>0.51275582911488082</v>
      </c>
      <c r="S23" s="43"/>
      <c r="T23" s="42">
        <f t="shared" si="26"/>
        <v>23.791870470930498</v>
      </c>
      <c r="U23" s="43">
        <f t="shared" si="27"/>
        <v>10</v>
      </c>
      <c r="W23" s="42">
        <f t="shared" si="28"/>
        <v>7245.6082001954719</v>
      </c>
      <c r="X23" s="43">
        <f t="shared" si="29"/>
        <v>5.1656377483461258</v>
      </c>
      <c r="Y23" s="43">
        <f t="shared" si="30"/>
        <v>10.489836330641575</v>
      </c>
      <c r="Z23" s="43"/>
      <c r="AA23" s="43">
        <f t="shared" si="31"/>
        <v>0.31946360136704777</v>
      </c>
      <c r="AC23" s="44">
        <f t="shared" si="32"/>
        <v>14.469167610397857</v>
      </c>
      <c r="AE23" s="44">
        <f t="shared" si="33"/>
        <v>21.667738653716736</v>
      </c>
      <c r="AG23" s="45"/>
      <c r="AH23" s="45"/>
    </row>
    <row r="24" spans="1:34" x14ac:dyDescent="0.35">
      <c r="A24">
        <f t="shared" si="18"/>
        <v>190</v>
      </c>
      <c r="B24" s="39">
        <f t="shared" si="5"/>
        <v>0.39643358549999874</v>
      </c>
      <c r="C24" s="40">
        <f t="shared" si="6"/>
        <v>6469.7829273778898</v>
      </c>
      <c r="D24" s="41">
        <f t="shared" si="20"/>
        <v>11.968</v>
      </c>
      <c r="E24" s="41">
        <f t="shared" si="21"/>
        <v>1.5163225400000002</v>
      </c>
      <c r="G24" s="115">
        <f t="shared" si="9"/>
        <v>12.058924928030667</v>
      </c>
      <c r="I24" s="42">
        <f t="shared" si="19"/>
        <v>11.946469420857211</v>
      </c>
      <c r="J24" s="42"/>
      <c r="K24" s="43">
        <f t="shared" si="22"/>
        <v>59.732347104286056</v>
      </c>
      <c r="L24" s="40">
        <f t="shared" si="23"/>
        <v>23.679908532882589</v>
      </c>
      <c r="M24" s="40"/>
      <c r="N24" s="42">
        <f>'Gain-Sub-Exp'!$D$19*E24^2/$T$2</f>
        <v>53.224545212040198</v>
      </c>
      <c r="O24" s="43">
        <f t="shared" si="24"/>
        <v>0.88707575353400325</v>
      </c>
      <c r="Q24" s="43">
        <f>('Gain-Sub-Exp'!O28)</f>
        <v>270.55186554684741</v>
      </c>
      <c r="R24" s="43">
        <f t="shared" si="25"/>
        <v>0.49552457873104516</v>
      </c>
      <c r="S24" s="43"/>
      <c r="T24" s="42">
        <f t="shared" si="26"/>
        <v>22.992340453120519</v>
      </c>
      <c r="U24" s="43">
        <f t="shared" si="27"/>
        <v>10</v>
      </c>
      <c r="W24" s="42">
        <f t="shared" si="28"/>
        <v>6422.6151538131553</v>
      </c>
      <c r="X24" s="43">
        <f t="shared" si="29"/>
        <v>5.0780999475358515</v>
      </c>
      <c r="Y24" s="43">
        <f t="shared" si="30"/>
        <v>10.340035517406511</v>
      </c>
      <c r="Z24" s="43"/>
      <c r="AA24" s="43">
        <f t="shared" si="31"/>
        <v>0.30872797050512307</v>
      </c>
      <c r="AC24" s="44">
        <f t="shared" si="32"/>
        <v>14.344537035722192</v>
      </c>
      <c r="AE24" s="44">
        <f t="shared" si="33"/>
        <v>21.667738653716736</v>
      </c>
      <c r="AG24" s="45"/>
      <c r="AH24" s="45"/>
    </row>
    <row r="25" spans="1:34" x14ac:dyDescent="0.35">
      <c r="A25" s="87">
        <f t="shared" si="18"/>
        <v>200</v>
      </c>
      <c r="B25" s="39">
        <f t="shared" si="5"/>
        <v>0.35850000000000026</v>
      </c>
      <c r="C25" s="40">
        <f t="shared" si="6"/>
        <v>5738.1826994152098</v>
      </c>
      <c r="D25" s="41">
        <f t="shared" si="20"/>
        <v>11.82</v>
      </c>
      <c r="E25" s="41">
        <f t="shared" si="21"/>
        <v>1.4918360000000002</v>
      </c>
      <c r="G25" s="115">
        <f t="shared" si="9"/>
        <v>11.909289241366492</v>
      </c>
      <c r="I25" s="42">
        <f t="shared" si="19"/>
        <v>12.69788937579966</v>
      </c>
      <c r="J25" s="42"/>
      <c r="K25" s="43">
        <f t="shared" si="22"/>
        <v>63.489446878998301</v>
      </c>
      <c r="L25" s="40">
        <f t="shared" si="23"/>
        <v>22.760966706120907</v>
      </c>
      <c r="M25" s="40"/>
      <c r="N25" s="42">
        <f>'Gain-Sub-Exp'!$D$19*E25^2/$T$2</f>
        <v>51.519417464657465</v>
      </c>
      <c r="O25" s="43">
        <f t="shared" si="24"/>
        <v>0.85865695774429107</v>
      </c>
      <c r="Q25" s="43">
        <f>('Gain-Sub-Exp'!O29)</f>
        <v>279.50626596037233</v>
      </c>
      <c r="R25" s="43">
        <f t="shared" si="25"/>
        <v>0.47964970924482719</v>
      </c>
      <c r="S25" s="43"/>
      <c r="T25" s="42">
        <f t="shared" si="26"/>
        <v>22.255746508960005</v>
      </c>
      <c r="U25" s="43">
        <f t="shared" si="27"/>
        <v>10</v>
      </c>
      <c r="W25" s="42">
        <f t="shared" si="28"/>
        <v>5692.6863364908841</v>
      </c>
      <c r="X25" s="43">
        <f t="shared" si="29"/>
        <v>4.9960955624468228</v>
      </c>
      <c r="Y25" s="43">
        <f t="shared" si="30"/>
        <v>10.18895506131817</v>
      </c>
      <c r="Z25" s="43"/>
      <c r="AA25" s="43">
        <f t="shared" si="31"/>
        <v>0.29883740917098212</v>
      </c>
      <c r="AC25" s="44">
        <f t="shared" si="32"/>
        <v>14.217461230464219</v>
      </c>
      <c r="AE25" s="44">
        <f t="shared" si="33"/>
        <v>21.667738653716736</v>
      </c>
      <c r="AG25" s="45"/>
      <c r="AH25" s="45"/>
    </row>
    <row r="26" spans="1:34" x14ac:dyDescent="0.35">
      <c r="A26">
        <f t="shared" si="18"/>
        <v>210</v>
      </c>
      <c r="B26" s="39">
        <f t="shared" si="5"/>
        <v>0.32562754549999973</v>
      </c>
      <c r="C26" s="40">
        <f t="shared" si="6"/>
        <v>5089.3115057281757</v>
      </c>
      <c r="D26" s="41">
        <f t="shared" si="20"/>
        <v>11.671999999999999</v>
      </c>
      <c r="E26" s="41">
        <f t="shared" si="21"/>
        <v>1.4690017400000002</v>
      </c>
      <c r="G26" s="115">
        <f t="shared" si="9"/>
        <v>11.758418678181238</v>
      </c>
      <c r="I26" s="42">
        <f t="shared" si="19"/>
        <v>13.496572830006583</v>
      </c>
      <c r="J26" s="42"/>
      <c r="K26" s="43">
        <f t="shared" si="22"/>
        <v>67.48286415003291</v>
      </c>
      <c r="L26" s="40">
        <f t="shared" si="23"/>
        <v>21.974279416485142</v>
      </c>
      <c r="M26" s="40"/>
      <c r="N26" s="42">
        <f>'Gain-Sub-Exp'!$D$19*E26^2/$T$2</f>
        <v>49.954359859504585</v>
      </c>
      <c r="O26" s="43">
        <f t="shared" si="24"/>
        <v>0.83257266432507637</v>
      </c>
      <c r="Q26" s="43">
        <f>('Gain-Sub-Exp'!O30)</f>
        <v>288.26312739267701</v>
      </c>
      <c r="R26" s="43">
        <f t="shared" si="25"/>
        <v>0.46507890347479003</v>
      </c>
      <c r="S26" s="43"/>
      <c r="T26" s="42">
        <f t="shared" si="26"/>
        <v>21.579661121230281</v>
      </c>
      <c r="U26" s="43">
        <f t="shared" si="27"/>
        <v>10</v>
      </c>
      <c r="W26" s="42">
        <f t="shared" si="28"/>
        <v>5045.2924862869859</v>
      </c>
      <c r="X26" s="43">
        <f t="shared" si="29"/>
        <v>4.919624593079039</v>
      </c>
      <c r="Y26" s="43">
        <f t="shared" si="30"/>
        <v>10.036514614677438</v>
      </c>
      <c r="Z26" s="43"/>
      <c r="AA26" s="43">
        <f t="shared" si="31"/>
        <v>0.2897593220546425</v>
      </c>
      <c r="AC26" s="44">
        <f t="shared" si="32"/>
        <v>14.087795211437728</v>
      </c>
      <c r="AE26" s="44">
        <f t="shared" si="33"/>
        <v>21.667738653716739</v>
      </c>
      <c r="AG26" s="45"/>
      <c r="AH26" s="45"/>
    </row>
    <row r="27" spans="1:34" x14ac:dyDescent="0.35">
      <c r="A27">
        <f t="shared" si="18"/>
        <v>220</v>
      </c>
      <c r="B27" s="39">
        <f t="shared" si="5"/>
        <v>0.29698168799999891</v>
      </c>
      <c r="C27" s="40">
        <f t="shared" si="6"/>
        <v>4513.8143832500873</v>
      </c>
      <c r="D27" s="41">
        <f t="shared" si="20"/>
        <v>11.523999999999999</v>
      </c>
      <c r="E27" s="41">
        <f t="shared" si="21"/>
        <v>1.4478197600000002</v>
      </c>
      <c r="G27" s="115">
        <f t="shared" si="9"/>
        <v>11.606249366430957</v>
      </c>
      <c r="I27" s="42">
        <f t="shared" si="19"/>
        <v>14.345492606262397</v>
      </c>
      <c r="J27" s="42"/>
      <c r="K27" s="43">
        <f t="shared" si="22"/>
        <v>71.727463031311984</v>
      </c>
      <c r="L27" s="40">
        <f t="shared" si="23"/>
        <v>21.301743046996553</v>
      </c>
      <c r="M27" s="40"/>
      <c r="N27" s="42">
        <f>'Gain-Sub-Exp'!$D$19*E27^2/$T$2</f>
        <v>48.524132163363312</v>
      </c>
      <c r="O27" s="43">
        <f t="shared" si="24"/>
        <v>0.80873553605605519</v>
      </c>
      <c r="Q27" s="43">
        <f>('Gain-Sub-Exp'!O31)</f>
        <v>296.75955772934537</v>
      </c>
      <c r="R27" s="43">
        <f t="shared" si="25"/>
        <v>0.45176337444966735</v>
      </c>
      <c r="S27" s="43"/>
      <c r="T27" s="42">
        <f t="shared" si="26"/>
        <v>20.961820574464586</v>
      </c>
      <c r="U27" s="43">
        <f t="shared" si="27"/>
        <v>10</v>
      </c>
      <c r="W27" s="42">
        <f t="shared" si="28"/>
        <v>4471.0990562541765</v>
      </c>
      <c r="X27" s="43">
        <f t="shared" si="29"/>
        <v>4.8486870394325008</v>
      </c>
      <c r="Y27" s="43">
        <f t="shared" si="30"/>
        <v>9.8826337945965381</v>
      </c>
      <c r="Z27" s="43"/>
      <c r="AA27" s="43">
        <f t="shared" si="31"/>
        <v>0.28146331328217056</v>
      </c>
      <c r="AC27" s="44">
        <f t="shared" si="32"/>
        <v>13.955394998746808</v>
      </c>
      <c r="AE27" s="44">
        <f t="shared" si="33"/>
        <v>21.667738653716736</v>
      </c>
      <c r="AG27" s="45"/>
      <c r="AH27" s="45"/>
    </row>
    <row r="28" spans="1:34" x14ac:dyDescent="0.35">
      <c r="A28">
        <f t="shared" si="18"/>
        <v>230</v>
      </c>
      <c r="B28" s="39">
        <f t="shared" si="5"/>
        <v>0.27182306549999957</v>
      </c>
      <c r="C28" s="40">
        <f t="shared" si="6"/>
        <v>4003.3942240523534</v>
      </c>
      <c r="D28" s="41">
        <f t="shared" si="20"/>
        <v>11.375999999999999</v>
      </c>
      <c r="E28" s="41">
        <f t="shared" si="21"/>
        <v>1.4282900600000001</v>
      </c>
      <c r="G28" s="115">
        <f t="shared" si="9"/>
        <v>11.452718978590008</v>
      </c>
      <c r="I28" s="42">
        <f t="shared" si="19"/>
        <v>15.247808514676738</v>
      </c>
      <c r="J28" s="42"/>
      <c r="K28" s="43">
        <f t="shared" si="22"/>
        <v>76.239042573383685</v>
      </c>
      <c r="L28" s="40">
        <f t="shared" si="23"/>
        <v>20.723530263082129</v>
      </c>
      <c r="M28" s="40"/>
      <c r="N28" s="42">
        <f>'Gain-Sub-Exp'!$D$19*E28^2/$T$2</f>
        <v>47.223873324672276</v>
      </c>
      <c r="O28" s="43">
        <f t="shared" si="24"/>
        <v>0.78706455541120457</v>
      </c>
      <c r="Q28" s="43">
        <f>('Gain-Sub-Exp'!O32)</f>
        <v>304.93051472075399</v>
      </c>
      <c r="R28" s="43">
        <f t="shared" si="25"/>
        <v>0.43965786540836244</v>
      </c>
      <c r="S28" s="43"/>
      <c r="T28" s="42">
        <f t="shared" si="26"/>
        <v>20.400124954948037</v>
      </c>
      <c r="U28" s="43">
        <f t="shared" si="27"/>
        <v>10</v>
      </c>
      <c r="W28" s="42">
        <f t="shared" si="28"/>
        <v>3961.8309109689148</v>
      </c>
      <c r="X28" s="43">
        <f t="shared" si="29"/>
        <v>4.7832829015072074</v>
      </c>
      <c r="Y28" s="43">
        <f t="shared" si="30"/>
        <v>9.7272328955448533</v>
      </c>
      <c r="Z28" s="43"/>
      <c r="AA28" s="43">
        <f t="shared" si="31"/>
        <v>0.27392118641568075</v>
      </c>
      <c r="AC28" s="44">
        <f t="shared" si="32"/>
        <v>13.820118832053375</v>
      </c>
      <c r="AE28" s="44">
        <f t="shared" si="33"/>
        <v>21.667738653716736</v>
      </c>
      <c r="AG28" s="45"/>
      <c r="AH28" s="45"/>
    </row>
    <row r="29" spans="1:34" x14ac:dyDescent="0.35">
      <c r="A29">
        <f t="shared" si="18"/>
        <v>240</v>
      </c>
      <c r="B29" s="39">
        <f t="shared" si="5"/>
        <v>0.249507487999999</v>
      </c>
      <c r="C29" s="40">
        <f t="shared" si="6"/>
        <v>3550.6921535474603</v>
      </c>
      <c r="D29" s="41">
        <f t="shared" si="20"/>
        <v>11.228</v>
      </c>
      <c r="E29" s="41">
        <f t="shared" si="21"/>
        <v>1.4104126400000001</v>
      </c>
      <c r="G29" s="115">
        <f t="shared" si="9"/>
        <v>11.29776725905587</v>
      </c>
      <c r="I29" s="42">
        <f t="shared" si="19"/>
        <v>16.206879113984179</v>
      </c>
      <c r="J29" s="42"/>
      <c r="K29" s="43">
        <f t="shared" si="22"/>
        <v>81.034395569920889</v>
      </c>
      <c r="L29" s="40">
        <f t="shared" si="23"/>
        <v>20.21868848024921</v>
      </c>
      <c r="M29" s="40"/>
      <c r="N29" s="42">
        <f>'Gain-Sub-Exp'!$D$19*E29^2/$T$2</f>
        <v>46.049101473527145</v>
      </c>
      <c r="O29" s="43">
        <f t="shared" si="24"/>
        <v>0.76748502455878576</v>
      </c>
      <c r="Q29" s="43">
        <f>('Gain-Sub-Exp'!O33)</f>
        <v>312.70968464560201</v>
      </c>
      <c r="R29" s="43">
        <f t="shared" si="25"/>
        <v>0.42872064979994995</v>
      </c>
      <c r="S29" s="43"/>
      <c r="T29" s="42">
        <f t="shared" si="26"/>
        <v>19.892638150717698</v>
      </c>
      <c r="U29" s="43">
        <f t="shared" si="27"/>
        <v>10</v>
      </c>
      <c r="W29" s="42">
        <f t="shared" si="28"/>
        <v>3510.1521062666934</v>
      </c>
      <c r="X29" s="43">
        <f t="shared" si="29"/>
        <v>4.7234121793031587</v>
      </c>
      <c r="Y29" s="43">
        <f t="shared" si="30"/>
        <v>9.5702336372471706</v>
      </c>
      <c r="Z29" s="43"/>
      <c r="AA29" s="43">
        <f t="shared" si="31"/>
        <v>0.26710694445333633</v>
      </c>
      <c r="AC29" s="44">
        <f t="shared" si="32"/>
        <v>13.681828443321246</v>
      </c>
      <c r="AE29" s="44">
        <f t="shared" si="33"/>
        <v>21.667738653716736</v>
      </c>
      <c r="AG29" s="45"/>
      <c r="AH29" s="45"/>
    </row>
    <row r="30" spans="1:34" x14ac:dyDescent="0.35">
      <c r="A30" s="87">
        <f t="shared" si="18"/>
        <v>250</v>
      </c>
      <c r="B30" s="39">
        <f t="shared" si="5"/>
        <v>0.2294859374999989</v>
      </c>
      <c r="C30" s="40">
        <f t="shared" si="6"/>
        <v>3149.1814354724979</v>
      </c>
      <c r="D30" s="41">
        <f t="shared" si="20"/>
        <v>11.079999999999998</v>
      </c>
      <c r="E30" s="41">
        <f t="shared" si="21"/>
        <v>1.3941875000000001</v>
      </c>
      <c r="G30" s="115">
        <f t="shared" si="9"/>
        <v>11.141336565405341</v>
      </c>
      <c r="I30" s="42">
        <f t="shared" si="19"/>
        <v>17.226274212616918</v>
      </c>
      <c r="J30" s="42"/>
      <c r="K30" s="43">
        <f t="shared" si="22"/>
        <v>86.131371063084586</v>
      </c>
      <c r="L30" s="40">
        <f t="shared" si="23"/>
        <v>19.765938436572245</v>
      </c>
      <c r="M30" s="40"/>
      <c r="N30" s="42">
        <f>'Gain-Sub-Exp'!$D$19*E30^2/$T$2</f>
        <v>44.995713921680462</v>
      </c>
      <c r="O30" s="43">
        <f t="shared" si="24"/>
        <v>0.749928565361341</v>
      </c>
      <c r="Q30" s="43">
        <f>('Gain-Sub-Exp'!O34)</f>
        <v>320.03048168242515</v>
      </c>
      <c r="R30" s="43">
        <f t="shared" si="25"/>
        <v>0.41891353128367426</v>
      </c>
      <c r="S30" s="43"/>
      <c r="T30" s="42">
        <f t="shared" si="26"/>
        <v>19.437587851562505</v>
      </c>
      <c r="U30" s="43">
        <f t="shared" si="27"/>
        <v>10</v>
      </c>
      <c r="W30" s="42">
        <f t="shared" si="28"/>
        <v>3109.5589956530794</v>
      </c>
      <c r="X30" s="43">
        <f t="shared" si="29"/>
        <v>4.6690748728203566</v>
      </c>
      <c r="Y30" s="43">
        <f t="shared" si="30"/>
        <v>9.4115598750881677</v>
      </c>
      <c r="Z30" s="43"/>
      <c r="AA30" s="43">
        <f t="shared" si="31"/>
        <v>0.26099678982934865</v>
      </c>
      <c r="AC30" s="44">
        <f t="shared" si="32"/>
        <v>13.540390306046149</v>
      </c>
      <c r="AE30" s="44">
        <f t="shared" si="33"/>
        <v>21.667738653716736</v>
      </c>
      <c r="AG30" s="45"/>
      <c r="AH30" s="45"/>
    </row>
    <row r="31" spans="1:34" x14ac:dyDescent="0.35">
      <c r="A31">
        <f t="shared" si="18"/>
        <v>260</v>
      </c>
      <c r="B31" s="39">
        <f t="shared" si="5"/>
        <v>0.21130456799999919</v>
      </c>
      <c r="C31" s="40">
        <f t="shared" si="6"/>
        <v>2793.0733740508326</v>
      </c>
      <c r="D31" s="41">
        <f t="shared" si="20"/>
        <v>10.931999999999999</v>
      </c>
      <c r="E31" s="41">
        <f t="shared" si="21"/>
        <v>1.3796146400000002</v>
      </c>
      <c r="G31" s="115">
        <f t="shared" si="9"/>
        <v>10.983372415003029</v>
      </c>
      <c r="I31" s="42">
        <f t="shared" si="19"/>
        <v>18.309788156081403</v>
      </c>
      <c r="J31" s="42"/>
      <c r="K31" s="43">
        <f t="shared" si="22"/>
        <v>91.548940780407008</v>
      </c>
      <c r="L31" s="40">
        <f t="shared" si="23"/>
        <v>19.344709382461414</v>
      </c>
      <c r="M31" s="40"/>
      <c r="N31" s="42">
        <f>'Gain-Sub-Exp'!$D$19*E31^2/$T$2</f>
        <v>44.059987162541731</v>
      </c>
      <c r="O31" s="43">
        <f t="shared" si="24"/>
        <v>0.73433311937569556</v>
      </c>
      <c r="Q31" s="43">
        <f>('Gain-Sub-Exp'!O35)</f>
        <v>326.82714924262115</v>
      </c>
      <c r="R31" s="43">
        <f t="shared" si="25"/>
        <v>0.41020184372895002</v>
      </c>
      <c r="S31" s="43"/>
      <c r="T31" s="42">
        <f t="shared" si="26"/>
        <v>19.033365549023301</v>
      </c>
      <c r="U31" s="43">
        <f t="shared" si="27"/>
        <v>10</v>
      </c>
      <c r="W31" s="42">
        <f t="shared" si="28"/>
        <v>2754.2850972756191</v>
      </c>
      <c r="X31" s="43">
        <f t="shared" si="29"/>
        <v>4.6202709820587993</v>
      </c>
      <c r="Y31" s="43">
        <f t="shared" si="30"/>
        <v>9.2511381476354302</v>
      </c>
      <c r="Z31" s="43"/>
      <c r="AA31" s="43">
        <f t="shared" si="31"/>
        <v>0.25556912441397778</v>
      </c>
      <c r="AC31" s="44">
        <f t="shared" si="32"/>
        <v>13.395676727513832</v>
      </c>
      <c r="AE31" s="44">
        <f t="shared" si="33"/>
        <v>21.667738653716739</v>
      </c>
      <c r="AG31" s="45"/>
      <c r="AH31" s="45"/>
    </row>
    <row r="32" spans="1:34" x14ac:dyDescent="0.35">
      <c r="A32">
        <f t="shared" si="18"/>
        <v>270</v>
      </c>
      <c r="B32" s="39">
        <f t="shared" si="5"/>
        <v>0.19460470549999975</v>
      </c>
      <c r="C32" s="40">
        <f t="shared" si="6"/>
        <v>2477.2338566962289</v>
      </c>
      <c r="D32" s="41">
        <f t="shared" si="20"/>
        <v>10.783999999999999</v>
      </c>
      <c r="E32" s="41">
        <f t="shared" si="21"/>
        <v>1.3666940600000002</v>
      </c>
      <c r="G32" s="115">
        <f t="shared" si="9"/>
        <v>10.823824027518276</v>
      </c>
      <c r="I32" s="42">
        <f t="shared" si="19"/>
        <v>19.461453950096487</v>
      </c>
      <c r="J32" s="42"/>
      <c r="K32" s="43">
        <f t="shared" si="22"/>
        <v>97.307269750482433</v>
      </c>
      <c r="L32" s="40">
        <f t="shared" si="23"/>
        <v>18.936452572801667</v>
      </c>
      <c r="M32" s="40"/>
      <c r="N32" s="42">
        <f>'Gain-Sub-Exp'!$D$19*E32^2/$T$2</f>
        <v>43.238576871177401</v>
      </c>
      <c r="O32" s="43">
        <f t="shared" si="24"/>
        <v>0.72064294785295668</v>
      </c>
      <c r="Q32" s="43">
        <f>('Gain-Sub-Exp'!O36)</f>
        <v>333.03593785943872</v>
      </c>
      <c r="R32" s="43">
        <f t="shared" si="25"/>
        <v>0.40255445121536254</v>
      </c>
      <c r="S32" s="43"/>
      <c r="T32" s="42">
        <f t="shared" si="26"/>
        <v>18.678526536392841</v>
      </c>
      <c r="U32" s="43">
        <f t="shared" si="27"/>
        <v>10</v>
      </c>
      <c r="W32" s="42">
        <f t="shared" si="28"/>
        <v>2439.216323135819</v>
      </c>
      <c r="X32" s="43">
        <f t="shared" si="29"/>
        <v>4.5770005070184867</v>
      </c>
      <c r="Y32" s="43">
        <f t="shared" si="30"/>
        <v>9.088897857038523</v>
      </c>
      <c r="Z32" s="43"/>
      <c r="AA32" s="43">
        <f t="shared" si="31"/>
        <v>0.25080454951353187</v>
      </c>
      <c r="AC32" s="44">
        <f t="shared" si="32"/>
        <v>13.247566571098787</v>
      </c>
      <c r="AE32" s="44">
        <f t="shared" si="33"/>
        <v>21.667738653716739</v>
      </c>
      <c r="AG32" s="45"/>
      <c r="AH32" s="45"/>
    </row>
    <row r="33" spans="1:34" x14ac:dyDescent="0.35">
      <c r="A33">
        <f t="shared" si="18"/>
        <v>280</v>
      </c>
      <c r="B33" s="39">
        <f t="shared" si="5"/>
        <v>0.17912284799999867</v>
      </c>
      <c r="C33" s="40">
        <f t="shared" si="6"/>
        <v>2197.1093340315483</v>
      </c>
      <c r="D33" s="41">
        <f t="shared" si="20"/>
        <v>10.635999999999999</v>
      </c>
      <c r="E33" s="41">
        <f t="shared" si="21"/>
        <v>1.3554257600000001</v>
      </c>
      <c r="G33" s="115">
        <f t="shared" si="9"/>
        <v>10.662644853183396</v>
      </c>
      <c r="I33" s="42">
        <f t="shared" si="19"/>
        <v>20.685558272061666</v>
      </c>
      <c r="J33" s="42"/>
      <c r="K33" s="43">
        <f t="shared" si="22"/>
        <v>103.42779136030833</v>
      </c>
      <c r="L33" s="40">
        <f t="shared" si="23"/>
        <v>18.526280550808085</v>
      </c>
      <c r="M33" s="40"/>
      <c r="N33" s="42">
        <f>'Gain-Sub-Exp'!$D$19*E33^2/$T$2</f>
        <v>42.52851790431086</v>
      </c>
      <c r="O33" s="43">
        <f t="shared" si="24"/>
        <v>0.70880863173851438</v>
      </c>
      <c r="Q33" s="43">
        <f>('Gain-Sub-Exp'!O37)</f>
        <v>338.59632805450661</v>
      </c>
      <c r="R33" s="43">
        <f t="shared" si="25"/>
        <v>0.39594374803266724</v>
      </c>
      <c r="S33" s="43"/>
      <c r="T33" s="42">
        <f t="shared" si="26"/>
        <v>18.37178990871578</v>
      </c>
      <c r="U33" s="43">
        <f t="shared" si="27"/>
        <v>10</v>
      </c>
      <c r="W33" s="42">
        <f t="shared" si="28"/>
        <v>2159.8153198239916</v>
      </c>
      <c r="X33" s="43">
        <f t="shared" si="29"/>
        <v>4.5392634476994198</v>
      </c>
      <c r="Y33" s="43">
        <f t="shared" si="30"/>
        <v>8.9247707616356333</v>
      </c>
      <c r="Z33" s="43"/>
      <c r="AA33" s="43">
        <f t="shared" si="31"/>
        <v>0.24668586587036795</v>
      </c>
      <c r="AC33" s="44">
        <f t="shared" si="32"/>
        <v>13.095945278865248</v>
      </c>
      <c r="AE33" s="44">
        <f t="shared" si="33"/>
        <v>21.667738653716736</v>
      </c>
      <c r="AG33" s="45"/>
      <c r="AH33" s="45"/>
    </row>
    <row r="34" spans="1:34" x14ac:dyDescent="0.35">
      <c r="A34">
        <f t="shared" si="18"/>
        <v>290</v>
      </c>
      <c r="B34" s="39">
        <f t="shared" si="5"/>
        <v>0.16469066549999667</v>
      </c>
      <c r="C34" s="40">
        <f t="shared" si="6"/>
        <v>1948.6611700546039</v>
      </c>
      <c r="D34" s="41">
        <f t="shared" si="20"/>
        <v>10.488</v>
      </c>
      <c r="E34" s="41">
        <f t="shared" si="21"/>
        <v>1.34580974</v>
      </c>
      <c r="G34" s="115">
        <f t="shared" si="9"/>
        <v>10.49979307618166</v>
      </c>
      <c r="I34" s="42">
        <f t="shared" si="19"/>
        <v>21.986657426730297</v>
      </c>
      <c r="J34" s="42"/>
      <c r="K34" s="43">
        <f t="shared" si="22"/>
        <v>109.93328713365148</v>
      </c>
      <c r="L34" s="40">
        <f t="shared" si="23"/>
        <v>18.104986218643283</v>
      </c>
      <c r="M34" s="40"/>
      <c r="N34" s="42">
        <f>'Gain-Sub-Exp'!$D$19*E34^2/$T$2</f>
        <v>41.92722430032245</v>
      </c>
      <c r="O34" s="43">
        <f t="shared" si="24"/>
        <v>0.69878707167204079</v>
      </c>
      <c r="Q34" s="43">
        <f>('Gain-Sub-Exp'!O38)</f>
        <v>343.45226139592683</v>
      </c>
      <c r="R34" s="43">
        <f t="shared" si="25"/>
        <v>0.39034565868079008</v>
      </c>
      <c r="S34" s="43"/>
      <c r="T34" s="42">
        <f t="shared" si="26"/>
        <v>18.112038562788676</v>
      </c>
      <c r="U34" s="43">
        <f t="shared" si="27"/>
        <v>10</v>
      </c>
      <c r="W34" s="42">
        <f t="shared" si="28"/>
        <v>1912.053799614491</v>
      </c>
      <c r="X34" s="43">
        <f t="shared" si="29"/>
        <v>4.5070598041015977</v>
      </c>
      <c r="Y34" s="43">
        <f t="shared" si="30"/>
        <v>8.758689290453221</v>
      </c>
      <c r="Z34" s="43"/>
      <c r="AA34" s="43">
        <f t="shared" si="31"/>
        <v>0.24319807366289103</v>
      </c>
      <c r="AC34" s="44">
        <f t="shared" si="32"/>
        <v>12.940703695221863</v>
      </c>
      <c r="AE34" s="44">
        <f t="shared" si="33"/>
        <v>21.667738653716739</v>
      </c>
      <c r="AG34" s="45"/>
      <c r="AH34" s="45"/>
    </row>
    <row r="35" spans="1:34" x14ac:dyDescent="0.35">
      <c r="A35" s="87">
        <f t="shared" si="18"/>
        <v>300</v>
      </c>
      <c r="B35" s="39">
        <f t="shared" si="5"/>
        <v>0.15123499999999979</v>
      </c>
      <c r="C35" s="40">
        <f t="shared" si="6"/>
        <v>1728.3074159585963</v>
      </c>
      <c r="D35" s="41">
        <f t="shared" si="20"/>
        <v>10.34</v>
      </c>
      <c r="E35" s="41">
        <f t="shared" si="21"/>
        <v>1.3378460000000003</v>
      </c>
      <c r="G35" s="115">
        <f t="shared" si="9"/>
        <v>10.335232082435832</v>
      </c>
      <c r="I35" s="42">
        <f t="shared" si="19"/>
        <v>23.369594305477463</v>
      </c>
      <c r="J35" s="42"/>
      <c r="K35" s="43">
        <f t="shared" si="22"/>
        <v>116.84797152738732</v>
      </c>
      <c r="L35" s="40">
        <f t="shared" si="23"/>
        <v>17.671502973944396</v>
      </c>
      <c r="M35" s="40"/>
      <c r="N35" s="42">
        <f>'Gain-Sub-Exp'!$D$19*E35^2/$T$2</f>
        <v>41.432489279249474</v>
      </c>
      <c r="O35" s="43">
        <f t="shared" si="24"/>
        <v>0.69054148798749126</v>
      </c>
      <c r="Q35" s="43">
        <f>('Gain-Sub-Exp'!O39)</f>
        <v>347.55333919103708</v>
      </c>
      <c r="R35" s="43">
        <f t="shared" si="25"/>
        <v>0.3857396378698274</v>
      </c>
      <c r="S35" s="43"/>
      <c r="T35" s="42">
        <f t="shared" si="26"/>
        <v>17.89831919716001</v>
      </c>
      <c r="U35" s="43">
        <f t="shared" si="27"/>
        <v>10</v>
      </c>
      <c r="W35" s="42">
        <f t="shared" si="28"/>
        <v>1692.3518541496221</v>
      </c>
      <c r="X35" s="43">
        <f t="shared" si="29"/>
        <v>4.480389576225023</v>
      </c>
      <c r="Y35" s="43">
        <f t="shared" si="30"/>
        <v>8.5905829446548108</v>
      </c>
      <c r="Z35" s="43"/>
      <c r="AA35" s="43">
        <f t="shared" si="31"/>
        <v>0.24032837250555519</v>
      </c>
      <c r="AC35" s="44">
        <f t="shared" si="32"/>
        <v>12.781734948471733</v>
      </c>
      <c r="AE35" s="44">
        <f t="shared" si="33"/>
        <v>21.667738653716736</v>
      </c>
      <c r="AG35" s="45"/>
      <c r="AH35" s="45"/>
    </row>
    <row r="36" spans="1:34" x14ac:dyDescent="0.35">
      <c r="A36">
        <f t="shared" si="18"/>
        <v>310</v>
      </c>
      <c r="B36" s="39">
        <f t="shared" si="5"/>
        <v>0.1387778655000016</v>
      </c>
      <c r="C36" s="40">
        <f t="shared" si="6"/>
        <v>1532.8711681435</v>
      </c>
      <c r="D36" s="41">
        <f t="shared" si="20"/>
        <v>10.192</v>
      </c>
      <c r="E36" s="41">
        <f t="shared" si="21"/>
        <v>1.3315345400000003</v>
      </c>
      <c r="G36" s="115">
        <f t="shared" si="9"/>
        <v>10.168930881313171</v>
      </c>
      <c r="I36" s="42">
        <f t="shared" si="19"/>
        <v>24.839516412287256</v>
      </c>
      <c r="J36" s="42"/>
      <c r="K36" s="43">
        <f t="shared" si="22"/>
        <v>124.19758206143628</v>
      </c>
      <c r="L36" s="40">
        <f t="shared" si="23"/>
        <v>17.235875338747416</v>
      </c>
      <c r="M36" s="40"/>
      <c r="N36" s="42">
        <f>'Gain-Sub-Exp'!$D$19*E36^2/$T$2</f>
        <v>41.042485242786114</v>
      </c>
      <c r="O36" s="43">
        <f t="shared" si="24"/>
        <v>0.68404142071310192</v>
      </c>
      <c r="Q36" s="43">
        <f>('Gain-Sub-Exp'!O40)</f>
        <v>350.85594633992184</v>
      </c>
      <c r="R36" s="43">
        <f t="shared" si="25"/>
        <v>0.38210867052004538</v>
      </c>
      <c r="S36" s="43"/>
      <c r="T36" s="42">
        <f t="shared" si="26"/>
        <v>17.729842312130124</v>
      </c>
      <c r="U36" s="43">
        <f t="shared" si="27"/>
        <v>10</v>
      </c>
      <c r="W36" s="42">
        <f t="shared" si="28"/>
        <v>1497.5233418221023</v>
      </c>
      <c r="X36" s="43">
        <f t="shared" si="29"/>
        <v>4.4592527640696913</v>
      </c>
      <c r="Y36" s="43">
        <f t="shared" si="30"/>
        <v>8.4203717008511454</v>
      </c>
      <c r="Z36" s="43"/>
      <c r="AA36" s="43">
        <f t="shared" si="31"/>
        <v>0.23806616144886208</v>
      </c>
      <c r="AC36" s="44">
        <f t="shared" si="32"/>
        <v>12.618928298398611</v>
      </c>
      <c r="AE36" s="44">
        <f t="shared" si="33"/>
        <v>21.667738653716736</v>
      </c>
      <c r="AG36" s="45"/>
      <c r="AH36" s="45"/>
    </row>
    <row r="37" spans="1:34" x14ac:dyDescent="0.35">
      <c r="A37">
        <f t="shared" si="18"/>
        <v>320</v>
      </c>
      <c r="B37" s="39">
        <f t="shared" si="5"/>
        <v>0.12743644800000098</v>
      </c>
      <c r="C37" s="40">
        <f t="shared" si="6"/>
        <v>1359.5347658809728</v>
      </c>
      <c r="D37" s="41">
        <f t="shared" si="20"/>
        <v>10.043999999999999</v>
      </c>
      <c r="E37" s="41">
        <f t="shared" si="21"/>
        <v>1.3268753600000003</v>
      </c>
      <c r="G37" s="115">
        <f t="shared" si="9"/>
        <v>10.00086447138909</v>
      </c>
      <c r="I37" s="42">
        <f t="shared" si="19"/>
        <v>26.401895023555145</v>
      </c>
      <c r="J37" s="42"/>
      <c r="K37" s="43">
        <f t="shared" si="22"/>
        <v>132.00947511777574</v>
      </c>
      <c r="L37" s="40">
        <f t="shared" si="23"/>
        <v>16.822818611353849</v>
      </c>
      <c r="M37" s="40"/>
      <c r="N37" s="42">
        <f>'Gain-Sub-Exp'!$D$19*E37^2/$T$2</f>
        <v>40.755763774283558</v>
      </c>
      <c r="O37" s="43">
        <f t="shared" si="24"/>
        <v>0.67926272957139266</v>
      </c>
      <c r="Q37" s="43">
        <f>('Gain-Sub-Exp'!O41)</f>
        <v>353.32425812827586</v>
      </c>
      <c r="R37" s="43">
        <f t="shared" si="25"/>
        <v>0.37943927176188114</v>
      </c>
      <c r="S37" s="43"/>
      <c r="T37" s="42">
        <f t="shared" si="26"/>
        <v>17.605982209751303</v>
      </c>
      <c r="U37" s="43">
        <f t="shared" si="27"/>
        <v>10</v>
      </c>
      <c r="W37" s="42">
        <f t="shared" si="28"/>
        <v>1324.7265257881058</v>
      </c>
      <c r="X37" s="43">
        <f t="shared" si="29"/>
        <v>4.4436493676356053</v>
      </c>
      <c r="Y37" s="43">
        <f t="shared" si="30"/>
        <v>8.2479548317657372</v>
      </c>
      <c r="Z37" s="43"/>
      <c r="AA37" s="43">
        <f t="shared" si="31"/>
        <v>0.23640303897936243</v>
      </c>
      <c r="AC37" s="44">
        <f t="shared" si="32"/>
        <v>12.452158360947006</v>
      </c>
      <c r="AE37" s="44">
        <f t="shared" si="33"/>
        <v>21.667738653716739</v>
      </c>
      <c r="AG37" s="45"/>
      <c r="AH37" s="45"/>
    </row>
    <row r="38" spans="1:34" x14ac:dyDescent="0.35">
      <c r="A38">
        <f t="shared" si="18"/>
        <v>330</v>
      </c>
      <c r="B38" s="39">
        <f t="shared" si="5"/>
        <v>0.11742310549999857</v>
      </c>
      <c r="C38" s="40">
        <f t="shared" si="6"/>
        <v>1205.7991682873107</v>
      </c>
      <c r="D38" s="41">
        <f t="shared" si="20"/>
        <v>9.895999999999999</v>
      </c>
      <c r="E38" s="41">
        <f t="shared" si="21"/>
        <v>1.3238684600000004</v>
      </c>
      <c r="G38" s="115">
        <f t="shared" si="9"/>
        <v>9.8310141414181462</v>
      </c>
      <c r="I38" s="42">
        <f t="shared" si="19"/>
        <v>28.062545553021081</v>
      </c>
      <c r="J38" s="42"/>
      <c r="K38" s="43">
        <f t="shared" si="22"/>
        <v>140.31272776510542</v>
      </c>
      <c r="L38" s="40">
        <f t="shared" si="23"/>
        <v>16.475956235354552</v>
      </c>
      <c r="M38" s="40"/>
      <c r="N38" s="42">
        <f>'Gain-Sub-Exp'!$D$19*E38^2/$T$2</f>
        <v>40.571255638749918</v>
      </c>
      <c r="O38" s="43">
        <f t="shared" si="24"/>
        <v>0.67618759397916528</v>
      </c>
      <c r="Q38" s="43">
        <f>('Gain-Sub-Exp'!O42)</f>
        <v>354.93109033200466</v>
      </c>
      <c r="R38" s="43">
        <f t="shared" si="25"/>
        <v>0.37772148693594199</v>
      </c>
      <c r="S38" s="43"/>
      <c r="T38" s="42">
        <f t="shared" si="26"/>
        <v>17.526276993827725</v>
      </c>
      <c r="U38" s="43">
        <f t="shared" si="27"/>
        <v>10</v>
      </c>
      <c r="W38" s="42">
        <f t="shared" si="28"/>
        <v>1171.4192135711926</v>
      </c>
      <c r="X38" s="43">
        <f t="shared" si="29"/>
        <v>4.4335793869227649</v>
      </c>
      <c r="Y38" s="43">
        <f t="shared" si="30"/>
        <v>8.0731928458572959</v>
      </c>
      <c r="Z38" s="43"/>
      <c r="AA38" s="43">
        <f t="shared" si="31"/>
        <v>0.23533280301965528</v>
      </c>
      <c r="AC38" s="44">
        <f t="shared" si="32"/>
        <v>12.281267410610468</v>
      </c>
      <c r="AE38" s="44">
        <f t="shared" si="33"/>
        <v>21.667738653716736</v>
      </c>
      <c r="AG38" s="45"/>
      <c r="AH38" s="45"/>
    </row>
    <row r="39" spans="1:34" x14ac:dyDescent="0.35">
      <c r="A39">
        <f t="shared" si="18"/>
        <v>340</v>
      </c>
      <c r="B39" s="39">
        <f t="shared" si="5"/>
        <v>0.10904536799999676</v>
      </c>
      <c r="C39" s="40">
        <f t="shared" si="6"/>
        <v>1069.4479249305671</v>
      </c>
      <c r="D39" s="41">
        <f t="shared" si="20"/>
        <v>9.7479999999999993</v>
      </c>
      <c r="E39" s="41">
        <f t="shared" si="21"/>
        <v>1.3225138400000003</v>
      </c>
      <c r="G39" s="115">
        <f t="shared" si="9"/>
        <v>9.6593676990251431</v>
      </c>
      <c r="I39" s="42">
        <f t="shared" si="19"/>
        <v>29.827649197634813</v>
      </c>
      <c r="J39" s="42"/>
      <c r="K39" s="43">
        <f t="shared" si="22"/>
        <v>149.13824598817405</v>
      </c>
      <c r="L39" s="40">
        <f t="shared" si="23"/>
        <v>16.26283491665448</v>
      </c>
      <c r="M39" s="40"/>
      <c r="N39" s="42">
        <f>'Gain-Sub-Exp'!$D$19*E39^2/$T$2</f>
        <v>40.488270782850243</v>
      </c>
      <c r="O39" s="43">
        <f t="shared" si="24"/>
        <v>0.67480451304750411</v>
      </c>
      <c r="Q39" s="43">
        <f>('Gain-Sub-Exp'!O43)</f>
        <v>355.65855793721516</v>
      </c>
      <c r="R39" s="43">
        <f t="shared" si="25"/>
        <v>0.37694889159300532</v>
      </c>
      <c r="S39" s="43"/>
      <c r="T39" s="42">
        <f t="shared" si="26"/>
        <v>17.490428569915466</v>
      </c>
      <c r="U39" s="43">
        <f t="shared" si="27"/>
        <v>10.000000000000002</v>
      </c>
      <c r="W39" s="42">
        <f t="shared" si="28"/>
        <v>1035.3177125524041</v>
      </c>
      <c r="X39" s="43">
        <f t="shared" si="29"/>
        <v>4.4290428219311693</v>
      </c>
      <c r="Y39" s="43">
        <f t="shared" si="30"/>
        <v>7.8958792162373852</v>
      </c>
      <c r="Z39" s="43"/>
      <c r="AA39" s="43">
        <f t="shared" si="31"/>
        <v>0.23485145092838797</v>
      </c>
      <c r="AC39" s="44">
        <f t="shared" si="32"/>
        <v>12.106037434771894</v>
      </c>
      <c r="AE39" s="44">
        <f t="shared" si="33"/>
        <v>21.667738653716736</v>
      </c>
      <c r="AG39" s="45"/>
      <c r="AH39" s="45"/>
    </row>
    <row r="40" spans="1:34" x14ac:dyDescent="0.35">
      <c r="A40" s="87">
        <f t="shared" si="18"/>
        <v>350</v>
      </c>
      <c r="B40" s="39">
        <f t="shared" si="5"/>
        <v>0.1027059374999979</v>
      </c>
      <c r="C40" s="40">
        <f t="shared" si="6"/>
        <v>948.51522062567619</v>
      </c>
      <c r="D40" s="41">
        <f t="shared" si="20"/>
        <v>9.5999999999999979</v>
      </c>
      <c r="E40" s="41">
        <f t="shared" si="21"/>
        <v>1.3228115000000005</v>
      </c>
      <c r="G40" s="115">
        <f t="shared" si="9"/>
        <v>9.4859196213070067</v>
      </c>
      <c r="I40" s="42">
        <f t="shared" si="19"/>
        <v>31.703775944922608</v>
      </c>
      <c r="J40" s="42"/>
      <c r="K40" s="43">
        <f t="shared" si="22"/>
        <v>158.51887972461304</v>
      </c>
      <c r="L40" s="40">
        <f t="shared" si="23"/>
        <v>16.280830153565791</v>
      </c>
      <c r="M40" s="40"/>
      <c r="N40" s="42">
        <f>'Gain-Sub-Exp'!$D$19*E40^2/$T$2</f>
        <v>40.506498334906539</v>
      </c>
      <c r="O40" s="43">
        <f t="shared" si="24"/>
        <v>0.67510830558177559</v>
      </c>
      <c r="Q40" s="43">
        <f>('Gain-Sub-Exp'!O44)</f>
        <v>355.49851485411608</v>
      </c>
      <c r="R40" s="43">
        <f t="shared" si="25"/>
        <v>0.37711859149401922</v>
      </c>
      <c r="S40" s="43"/>
      <c r="T40" s="42">
        <f t="shared" si="26"/>
        <v>17.498302645322511</v>
      </c>
      <c r="U40" s="43">
        <f t="shared" si="27"/>
        <v>10</v>
      </c>
      <c r="W40" s="42">
        <f t="shared" si="28"/>
        <v>914.3589692352939</v>
      </c>
      <c r="X40" s="43">
        <f t="shared" si="29"/>
        <v>4.4300396726608193</v>
      </c>
      <c r="Y40" s="43">
        <f t="shared" si="30"/>
        <v>7.7156970462312131</v>
      </c>
      <c r="Z40" s="43"/>
      <c r="AA40" s="43">
        <f t="shared" si="31"/>
        <v>0.23495717950025644</v>
      </c>
      <c r="AC40" s="44">
        <f t="shared" si="32"/>
        <v>11.926147098138049</v>
      </c>
      <c r="AE40" s="44">
        <f t="shared" si="33"/>
        <v>21.667738653716739</v>
      </c>
      <c r="AG40" s="45"/>
      <c r="AH40" s="45"/>
    </row>
    <row r="41" spans="1:34" x14ac:dyDescent="0.35">
      <c r="A41">
        <f t="shared" si="18"/>
        <v>360</v>
      </c>
      <c r="B41" s="39">
        <f t="shared" si="5"/>
        <v>9.8902687999999017E-2</v>
      </c>
      <c r="C41" s="40">
        <f t="shared" si="6"/>
        <v>841.25753371019562</v>
      </c>
      <c r="D41" s="41">
        <f t="shared" si="20"/>
        <v>9.4519999999999982</v>
      </c>
      <c r="E41" s="41">
        <f t="shared" si="21"/>
        <v>1.3247614400000003</v>
      </c>
      <c r="G41" s="115">
        <f t="shared" si="9"/>
        <v>9.3106711234639423</v>
      </c>
      <c r="I41" s="42">
        <f t="shared" si="19"/>
        <v>33.697909027492351</v>
      </c>
      <c r="J41" s="42"/>
      <c r="K41" s="43">
        <f t="shared" si="22"/>
        <v>168.48954513746176</v>
      </c>
      <c r="L41" s="40">
        <f t="shared" si="23"/>
        <v>16.664068913992132</v>
      </c>
      <c r="M41" s="40"/>
      <c r="N41" s="42">
        <f>'Gain-Sub-Exp'!$D$19*E41^2/$T$2</f>
        <v>40.626006604897725</v>
      </c>
      <c r="O41" s="43">
        <f t="shared" si="24"/>
        <v>0.67710011008162874</v>
      </c>
      <c r="Q41" s="43">
        <f>('Gain-Sub-Exp'!O45)</f>
        <v>354.4527558429528</v>
      </c>
      <c r="R41" s="43">
        <f t="shared" si="25"/>
        <v>0.37823122261010178</v>
      </c>
      <c r="S41" s="43"/>
      <c r="T41" s="42">
        <f t="shared" si="26"/>
        <v>17.549928729108743</v>
      </c>
      <c r="U41" s="43">
        <f t="shared" si="27"/>
        <v>10</v>
      </c>
      <c r="W41" s="42">
        <f t="shared" si="28"/>
        <v>806.66530484448458</v>
      </c>
      <c r="X41" s="43">
        <f t="shared" si="29"/>
        <v>4.4365699391117142</v>
      </c>
      <c r="Y41" s="43">
        <f t="shared" si="30"/>
        <v>7.5321534861762087</v>
      </c>
      <c r="Z41" s="43"/>
      <c r="AA41" s="43">
        <f t="shared" si="31"/>
        <v>0.23565038496600479</v>
      </c>
      <c r="AC41" s="44">
        <f t="shared" si="32"/>
        <v>11.741106452566951</v>
      </c>
      <c r="AE41" s="44">
        <f t="shared" si="33"/>
        <v>21.667738653716736</v>
      </c>
      <c r="AG41" s="45"/>
      <c r="AH41" s="45"/>
    </row>
    <row r="42" spans="1:34" x14ac:dyDescent="0.35">
      <c r="A42" s="33">
        <f t="shared" si="18"/>
        <v>370</v>
      </c>
      <c r="B42" s="39">
        <f t="shared" si="5"/>
        <v>9.8228665500000645E-2</v>
      </c>
      <c r="C42" s="40">
        <f t="shared" si="6"/>
        <v>746.12849918984557</v>
      </c>
      <c r="D42" s="41">
        <f t="shared" si="20"/>
        <v>9.3039999999999985</v>
      </c>
      <c r="E42" s="41">
        <f t="shared" si="21"/>
        <v>1.3283636600000002</v>
      </c>
      <c r="G42" s="115">
        <f t="shared" si="9"/>
        <v>9.1336301436765659</v>
      </c>
      <c r="I42" s="42">
        <f t="shared" si="19"/>
        <v>35.817470915700511</v>
      </c>
      <c r="J42" s="42"/>
      <c r="K42" s="43">
        <f t="shared" si="22"/>
        <v>179.08735457850256</v>
      </c>
      <c r="L42" s="40">
        <f t="shared" si="23"/>
        <v>17.591511848171738</v>
      </c>
      <c r="M42" s="40"/>
      <c r="N42" s="42">
        <f>'Gain-Sub-Exp'!$D$19*E42^2/$T$2</f>
        <v>40.847243084459713</v>
      </c>
      <c r="O42" s="43">
        <f t="shared" si="24"/>
        <v>0.68078738474099521</v>
      </c>
      <c r="Q42" s="43">
        <f>('Gain-Sub-Exp'!O46)</f>
        <v>352.53297193705748</v>
      </c>
      <c r="R42" s="43">
        <f t="shared" si="25"/>
        <v>0.38029095112254185</v>
      </c>
      <c r="S42" s="43"/>
      <c r="T42" s="42">
        <f t="shared" si="26"/>
        <v>17.64550013208596</v>
      </c>
      <c r="U42" s="43">
        <f t="shared" si="27"/>
        <v>10</v>
      </c>
      <c r="W42" s="42">
        <f t="shared" si="28"/>
        <v>710.51119625846536</v>
      </c>
      <c r="X42" s="43">
        <f t="shared" si="29"/>
        <v>4.4486336212838538</v>
      </c>
      <c r="Y42" s="43">
        <f t="shared" si="30"/>
        <v>7.3444809538909608</v>
      </c>
      <c r="Z42" s="43"/>
      <c r="AA42" s="43">
        <f t="shared" si="31"/>
        <v>0.23693366299242594</v>
      </c>
      <c r="AC42" s="44">
        <f t="shared" si="32"/>
        <v>11.550158480395144</v>
      </c>
      <c r="AE42" s="44">
        <f t="shared" si="33"/>
        <v>21.667738653716736</v>
      </c>
      <c r="AG42" s="45"/>
      <c r="AH42" s="45"/>
    </row>
    <row r="43" spans="1:34" x14ac:dyDescent="0.35">
      <c r="A43" s="33">
        <f t="shared" si="18"/>
        <v>380</v>
      </c>
      <c r="B43" s="39">
        <f t="shared" si="5"/>
        <v>0.1013720879999962</v>
      </c>
      <c r="C43" s="40">
        <f t="shared" si="6"/>
        <v>661.756614348575</v>
      </c>
      <c r="D43" s="41">
        <f t="shared" si="20"/>
        <v>9.1559999999999988</v>
      </c>
      <c r="E43" s="41">
        <f t="shared" si="21"/>
        <v>1.3336181600000003</v>
      </c>
      <c r="G43" s="115">
        <f t="shared" si="9"/>
        <v>8.9548112446227037</v>
      </c>
      <c r="I43" s="42">
        <f t="shared" si="19"/>
        <v>38.070350945229514</v>
      </c>
      <c r="J43" s="42"/>
      <c r="K43" s="43">
        <f t="shared" si="22"/>
        <v>190.35175472614756</v>
      </c>
      <c r="L43" s="40">
        <f t="shared" si="23"/>
        <v>19.296354831052721</v>
      </c>
      <c r="M43" s="40"/>
      <c r="N43" s="42">
        <f>'Gain-Sub-Exp'!$D$19*E43^2/$T$2</f>
        <v>41.171034446885336</v>
      </c>
      <c r="O43" s="43">
        <f t="shared" si="24"/>
        <v>0.68618390744808899</v>
      </c>
      <c r="Q43" s="43">
        <f>('Gain-Sub-Exp'!O47)</f>
        <v>349.76046129172215</v>
      </c>
      <c r="R43" s="43">
        <f t="shared" si="25"/>
        <v>0.38330547342279842</v>
      </c>
      <c r="S43" s="43"/>
      <c r="T43" s="42">
        <f t="shared" si="26"/>
        <v>17.785373966817865</v>
      </c>
      <c r="U43" s="43">
        <f t="shared" si="27"/>
        <v>10</v>
      </c>
      <c r="W43" s="42">
        <f t="shared" si="28"/>
        <v>624.29158007728165</v>
      </c>
      <c r="X43" s="43">
        <f t="shared" si="29"/>
        <v>4.4662307191772408</v>
      </c>
      <c r="Y43" s="43">
        <f t="shared" si="30"/>
        <v>7.1514877440498372</v>
      </c>
      <c r="Z43" s="43"/>
      <c r="AA43" s="43">
        <f t="shared" si="31"/>
        <v>0.23881180868236115</v>
      </c>
      <c r="AC43" s="44">
        <f t="shared" si="32"/>
        <v>11.35213011647984</v>
      </c>
      <c r="AE43" s="44">
        <f t="shared" si="33"/>
        <v>21.667738653716732</v>
      </c>
      <c r="AG43" s="45"/>
      <c r="AH43" s="45"/>
    </row>
    <row r="44" spans="1:34" x14ac:dyDescent="0.35">
      <c r="A44" s="33">
        <f t="shared" si="18"/>
        <v>390</v>
      </c>
      <c r="B44" s="39">
        <f t="shared" si="5"/>
        <v>0.10911634550000038</v>
      </c>
      <c r="C44" s="40">
        <f t="shared" si="6"/>
        <v>586.92546539850628</v>
      </c>
      <c r="D44" s="41">
        <f t="shared" si="20"/>
        <v>9.0079999999999991</v>
      </c>
      <c r="E44" s="41">
        <f t="shared" si="21"/>
        <v>1.3405249400000003</v>
      </c>
      <c r="G44" s="115">
        <f t="shared" si="9"/>
        <v>8.7742354341872488</v>
      </c>
      <c r="I44" s="42">
        <f t="shared" si="19"/>
        <v>40.464934682409911</v>
      </c>
      <c r="J44" s="42"/>
      <c r="K44" s="43">
        <f t="shared" si="22"/>
        <v>202.32467341204955</v>
      </c>
      <c r="L44" s="40">
        <f t="shared" si="23"/>
        <v>22.076928967203941</v>
      </c>
      <c r="M44" s="40"/>
      <c r="N44" s="42">
        <f>'Gain-Sub-Exp'!$D$19*E44^2/$T$2</f>
        <v>41.598586547124356</v>
      </c>
      <c r="O44" s="43">
        <f t="shared" si="24"/>
        <v>0.69330977578540598</v>
      </c>
      <c r="Q44" s="43">
        <f>('Gain-Sub-Exp'!O48)</f>
        <v>346.16560790321967</v>
      </c>
      <c r="R44" s="43">
        <f t="shared" si="25"/>
        <v>0.38728601611250063</v>
      </c>
      <c r="S44" s="43"/>
      <c r="T44" s="42">
        <f t="shared" si="26"/>
        <v>17.970071147620047</v>
      </c>
      <c r="U44" s="43">
        <f t="shared" si="27"/>
        <v>10</v>
      </c>
      <c r="W44" s="42">
        <f t="shared" si="28"/>
        <v>546.49117926756981</v>
      </c>
      <c r="X44" s="43">
        <f t="shared" si="29"/>
        <v>4.4893612327918717</v>
      </c>
      <c r="Y44" s="43">
        <f t="shared" si="30"/>
        <v>6.9513286819345241</v>
      </c>
      <c r="Z44" s="43"/>
      <c r="AA44" s="43">
        <f t="shared" si="31"/>
        <v>0.24129181657469978</v>
      </c>
      <c r="AC44" s="44">
        <f t="shared" si="32"/>
        <v>11.145203507384913</v>
      </c>
      <c r="AE44" s="44">
        <f t="shared" si="33"/>
        <v>21.667738653716739</v>
      </c>
      <c r="AG44" s="45"/>
      <c r="AH44" s="45"/>
    </row>
    <row r="45" spans="1:34" x14ac:dyDescent="0.35">
      <c r="A45" s="33">
        <f t="shared" si="18"/>
        <v>400</v>
      </c>
      <c r="B45" s="39">
        <f t="shared" si="5"/>
        <v>0.12233999999999945</v>
      </c>
      <c r="C45" s="40">
        <f t="shared" si="6"/>
        <v>520.55619009166401</v>
      </c>
      <c r="D45" s="41">
        <f t="shared" si="20"/>
        <v>8.86</v>
      </c>
      <c r="E45" s="41">
        <f t="shared" si="21"/>
        <v>1.3490840000000002</v>
      </c>
      <c r="G45" s="115">
        <f t="shared" si="9"/>
        <v>8.5919299099652111</v>
      </c>
      <c r="I45" s="42">
        <f t="shared" si="19"/>
        <v>43.01013513658927</v>
      </c>
      <c r="K45" s="43">
        <f t="shared" si="22"/>
        <v>215.05067568294635</v>
      </c>
      <c r="L45" s="40">
        <f t="shared" si="23"/>
        <v>26.309299663051537</v>
      </c>
      <c r="M45" s="40"/>
      <c r="N45" s="42">
        <f>'Gain-Sub-Exp'!$D$19*E45^2/$T$2</f>
        <v>42.131484421783455</v>
      </c>
      <c r="O45" s="43">
        <f t="shared" si="24"/>
        <v>0.70219140702972427</v>
      </c>
      <c r="Q45" s="43">
        <f>('Gain-Sub-Exp'!O49)</f>
        <v>341.78715033725928</v>
      </c>
      <c r="R45" s="43">
        <f t="shared" si="25"/>
        <v>0.39224733600344797</v>
      </c>
      <c r="S45" s="43"/>
      <c r="T45" s="42">
        <f t="shared" si="26"/>
        <v>18.200276390560003</v>
      </c>
      <c r="U45" s="43">
        <f t="shared" si="27"/>
        <v>10</v>
      </c>
      <c r="W45" s="42">
        <f t="shared" si="28"/>
        <v>475.654366702049</v>
      </c>
      <c r="X45" s="43">
        <f t="shared" si="29"/>
        <v>4.5180251621277465</v>
      </c>
      <c r="Y45" s="43">
        <f t="shared" si="30"/>
        <v>6.7411428093521364</v>
      </c>
      <c r="Z45" s="43"/>
      <c r="AA45" s="43">
        <f t="shared" si="31"/>
        <v>0.2443828806443798</v>
      </c>
      <c r="AC45" s="44">
        <f t="shared" si="32"/>
        <v>10.926554681485595</v>
      </c>
      <c r="AE45" s="44">
        <f t="shared" si="33"/>
        <v>21.667738653716739</v>
      </c>
    </row>
    <row r="46" spans="1:34" x14ac:dyDescent="0.35">
      <c r="A46" s="33"/>
      <c r="B46" s="39"/>
      <c r="C46" s="40"/>
      <c r="L46" s="86"/>
      <c r="M46" s="86"/>
      <c r="AC46" s="86"/>
    </row>
    <row r="47" spans="1:34" ht="15" customHeight="1" x14ac:dyDescent="0.35">
      <c r="A47" s="149" t="s">
        <v>44</v>
      </c>
      <c r="B47" s="150"/>
      <c r="C47" s="150"/>
      <c r="D47" s="150"/>
      <c r="E47" s="150"/>
      <c r="F47" s="150"/>
      <c r="G47" s="150"/>
      <c r="H47" s="150"/>
      <c r="I47" s="151"/>
      <c r="J47" s="46"/>
      <c r="Y47" s="32"/>
    </row>
    <row r="48" spans="1:34" ht="15" customHeight="1" x14ac:dyDescent="0.35">
      <c r="A48" s="146" t="s">
        <v>45</v>
      </c>
      <c r="B48" s="139"/>
      <c r="C48" s="139"/>
      <c r="D48" s="139"/>
      <c r="E48" s="139"/>
      <c r="F48" s="139"/>
      <c r="G48" s="139"/>
      <c r="H48" s="139"/>
      <c r="I48" s="147"/>
      <c r="J48" s="47"/>
      <c r="Y48" s="32"/>
    </row>
    <row r="49" spans="1:25" ht="15" customHeight="1" x14ac:dyDescent="0.35">
      <c r="A49" s="146"/>
      <c r="B49" s="139"/>
      <c r="C49" s="139"/>
      <c r="D49" s="139"/>
      <c r="E49" s="139"/>
      <c r="F49" s="139"/>
      <c r="G49" s="139"/>
      <c r="H49" s="139"/>
      <c r="I49" s="147"/>
      <c r="J49" s="47"/>
      <c r="Y49" s="32"/>
    </row>
    <row r="50" spans="1:25" ht="15" customHeight="1" x14ac:dyDescent="0.35">
      <c r="A50" s="146" t="s">
        <v>46</v>
      </c>
      <c r="B50" s="139"/>
      <c r="C50" s="139"/>
      <c r="D50" s="139"/>
      <c r="E50" s="139"/>
      <c r="F50" s="139"/>
      <c r="G50" s="139"/>
      <c r="H50" s="139"/>
      <c r="I50" s="147"/>
      <c r="J50" s="47"/>
      <c r="Y50" s="32"/>
    </row>
    <row r="51" spans="1:25" ht="15" customHeight="1" x14ac:dyDescent="0.35">
      <c r="A51" s="146"/>
      <c r="B51" s="139"/>
      <c r="C51" s="139"/>
      <c r="D51" s="139"/>
      <c r="E51" s="139"/>
      <c r="F51" s="139"/>
      <c r="G51" s="139"/>
      <c r="H51" s="139"/>
      <c r="I51" s="147"/>
      <c r="J51" s="47"/>
      <c r="Y51" s="32"/>
    </row>
    <row r="52" spans="1:25" ht="15.75" customHeight="1" x14ac:dyDescent="0.35">
      <c r="A52" s="146" t="s">
        <v>47</v>
      </c>
      <c r="B52" s="139"/>
      <c r="C52" s="139"/>
      <c r="D52" s="139"/>
      <c r="E52" s="139"/>
      <c r="F52" s="139"/>
      <c r="G52" s="139"/>
      <c r="H52" s="139"/>
      <c r="I52" s="147"/>
      <c r="J52" s="47"/>
      <c r="Y52" s="32"/>
    </row>
    <row r="53" spans="1:25" ht="15.75" customHeight="1" x14ac:dyDescent="0.35">
      <c r="A53" s="146"/>
      <c r="B53" s="139"/>
      <c r="C53" s="139"/>
      <c r="D53" s="139"/>
      <c r="E53" s="139"/>
      <c r="F53" s="139"/>
      <c r="G53" s="139"/>
      <c r="H53" s="139"/>
      <c r="I53" s="147"/>
      <c r="J53" s="47"/>
      <c r="Y53" s="32"/>
    </row>
    <row r="54" spans="1:25" ht="15.75" customHeight="1" x14ac:dyDescent="0.35">
      <c r="A54" s="146" t="s">
        <v>156</v>
      </c>
      <c r="B54" s="139"/>
      <c r="C54" s="139"/>
      <c r="D54" s="139"/>
      <c r="E54" s="139"/>
      <c r="F54" s="139"/>
      <c r="G54" s="139"/>
      <c r="H54" s="139"/>
      <c r="I54" s="147"/>
      <c r="J54" s="47"/>
      <c r="Y54" s="32"/>
    </row>
    <row r="55" spans="1:25" ht="15.75" customHeight="1" x14ac:dyDescent="0.35">
      <c r="A55" s="146" t="s">
        <v>157</v>
      </c>
      <c r="B55" s="139"/>
      <c r="C55" s="139"/>
      <c r="D55" s="139"/>
      <c r="E55" s="139"/>
      <c r="F55" s="139"/>
      <c r="G55" s="139"/>
      <c r="H55" s="139"/>
      <c r="I55" s="147"/>
      <c r="J55" s="47"/>
      <c r="Y55" s="32"/>
    </row>
    <row r="56" spans="1:25" ht="15.75" customHeight="1" x14ac:dyDescent="0.35">
      <c r="A56" s="146"/>
      <c r="B56" s="139"/>
      <c r="C56" s="139"/>
      <c r="D56" s="139"/>
      <c r="E56" s="139"/>
      <c r="F56" s="139"/>
      <c r="G56" s="139"/>
      <c r="H56" s="139"/>
      <c r="I56" s="147"/>
      <c r="J56" s="47"/>
      <c r="Y56" s="32"/>
    </row>
    <row r="57" spans="1:25" ht="16.5" x14ac:dyDescent="0.35">
      <c r="A57" s="146" t="s">
        <v>48</v>
      </c>
      <c r="B57" s="139"/>
      <c r="C57" s="139"/>
      <c r="D57" s="139"/>
      <c r="E57" s="139"/>
      <c r="F57" s="139"/>
      <c r="G57" s="139"/>
      <c r="H57" s="139"/>
      <c r="I57" s="147"/>
      <c r="J57" s="47"/>
    </row>
    <row r="58" spans="1:25" ht="16.5" x14ac:dyDescent="0.45">
      <c r="A58" s="146" t="s">
        <v>49</v>
      </c>
      <c r="B58" s="139"/>
      <c r="C58" s="139"/>
      <c r="D58" s="139"/>
      <c r="E58" s="139"/>
      <c r="F58" s="139"/>
      <c r="G58" s="139"/>
      <c r="H58" s="139"/>
      <c r="I58" s="147"/>
      <c r="J58" s="47"/>
    </row>
    <row r="59" spans="1:25" x14ac:dyDescent="0.35">
      <c r="A59" s="146"/>
      <c r="B59" s="139"/>
      <c r="C59" s="139"/>
      <c r="D59" s="139"/>
      <c r="E59" s="139"/>
      <c r="F59" s="139"/>
      <c r="G59" s="139"/>
      <c r="H59" s="139"/>
      <c r="I59" s="147"/>
      <c r="J59" s="46"/>
    </row>
    <row r="60" spans="1:25" x14ac:dyDescent="0.35">
      <c r="A60" s="146" t="s">
        <v>50</v>
      </c>
      <c r="B60" s="139"/>
      <c r="C60" s="139"/>
      <c r="D60" s="139"/>
      <c r="E60" s="139"/>
      <c r="F60" s="139"/>
      <c r="G60" s="139"/>
      <c r="H60" s="139"/>
      <c r="I60" s="147"/>
      <c r="J60" s="47"/>
    </row>
    <row r="61" spans="1:25" ht="16.5" x14ac:dyDescent="0.45">
      <c r="A61" s="146" t="s">
        <v>51</v>
      </c>
      <c r="B61" s="139"/>
      <c r="C61" s="139"/>
      <c r="D61" s="139"/>
      <c r="E61" s="139"/>
      <c r="F61" s="139"/>
      <c r="G61" s="139"/>
      <c r="H61" s="139"/>
      <c r="I61" s="147"/>
    </row>
    <row r="62" spans="1:25" x14ac:dyDescent="0.35">
      <c r="A62" s="152"/>
      <c r="B62" s="148"/>
      <c r="C62" s="148"/>
      <c r="D62" s="148"/>
      <c r="E62" s="148"/>
      <c r="F62" s="148"/>
      <c r="G62" s="148"/>
      <c r="H62" s="148"/>
      <c r="I62" s="153"/>
    </row>
    <row r="63" spans="1:25" ht="16.5" x14ac:dyDescent="0.35">
      <c r="A63" s="154" t="s">
        <v>52</v>
      </c>
      <c r="B63" s="155"/>
      <c r="C63" s="155"/>
      <c r="D63" s="155"/>
      <c r="E63" s="155"/>
      <c r="F63" s="155"/>
      <c r="G63" s="155"/>
      <c r="H63" s="155"/>
      <c r="I63" s="156"/>
    </row>
  </sheetData>
  <mergeCells count="18">
    <mergeCell ref="A61:I61"/>
    <mergeCell ref="A62:I62"/>
    <mergeCell ref="A63:I63"/>
    <mergeCell ref="A58:I58"/>
    <mergeCell ref="A59:I59"/>
    <mergeCell ref="A60:I60"/>
    <mergeCell ref="A57:I57"/>
    <mergeCell ref="A51:I51"/>
    <mergeCell ref="A2:I2"/>
    <mergeCell ref="A47:I47"/>
    <mergeCell ref="A48:I48"/>
    <mergeCell ref="A49:I49"/>
    <mergeCell ref="A50:I50"/>
    <mergeCell ref="A52:I52"/>
    <mergeCell ref="A53:I53"/>
    <mergeCell ref="A54:I54"/>
    <mergeCell ref="A55:I55"/>
    <mergeCell ref="A56:I56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>
      <selection activeCell="X27" sqref="X27"/>
    </sheetView>
  </sheetViews>
  <sheetFormatPr defaultRowHeight="14.5" x14ac:dyDescent="0.3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42"/>
  <sheetViews>
    <sheetView workbookViewId="0">
      <selection activeCell="B12" sqref="B12"/>
    </sheetView>
  </sheetViews>
  <sheetFormatPr defaultRowHeight="14.5" x14ac:dyDescent="0.35"/>
  <sheetData>
    <row r="1" spans="1:2" x14ac:dyDescent="0.35">
      <c r="A1" t="s">
        <v>72</v>
      </c>
      <c r="B1" t="s">
        <v>27</v>
      </c>
    </row>
    <row r="2" spans="1:2" x14ac:dyDescent="0.35">
      <c r="A2" s="87">
        <v>0</v>
      </c>
      <c r="B2">
        <v>63.7</v>
      </c>
    </row>
    <row r="3" spans="1:2" x14ac:dyDescent="0.35">
      <c r="A3">
        <f>A2+10</f>
        <v>10</v>
      </c>
    </row>
    <row r="4" spans="1:2" x14ac:dyDescent="0.35">
      <c r="A4">
        <f t="shared" ref="A4:A39" si="0">A3+10</f>
        <v>20</v>
      </c>
    </row>
    <row r="5" spans="1:2" x14ac:dyDescent="0.35">
      <c r="A5">
        <f t="shared" si="0"/>
        <v>30</v>
      </c>
    </row>
    <row r="6" spans="1:2" x14ac:dyDescent="0.35">
      <c r="A6">
        <f t="shared" si="0"/>
        <v>40</v>
      </c>
    </row>
    <row r="7" spans="1:2" x14ac:dyDescent="0.35">
      <c r="A7" s="87">
        <f t="shared" si="0"/>
        <v>50</v>
      </c>
      <c r="B7">
        <v>35</v>
      </c>
    </row>
    <row r="8" spans="1:2" x14ac:dyDescent="0.35">
      <c r="A8">
        <f t="shared" si="0"/>
        <v>60</v>
      </c>
    </row>
    <row r="9" spans="1:2" x14ac:dyDescent="0.35">
      <c r="A9">
        <f t="shared" si="0"/>
        <v>70</v>
      </c>
    </row>
    <row r="10" spans="1:2" x14ac:dyDescent="0.35">
      <c r="A10">
        <f t="shared" si="0"/>
        <v>80</v>
      </c>
    </row>
    <row r="11" spans="1:2" x14ac:dyDescent="0.35">
      <c r="A11">
        <f t="shared" si="0"/>
        <v>90</v>
      </c>
    </row>
    <row r="12" spans="1:2" x14ac:dyDescent="0.35">
      <c r="A12" s="87">
        <f t="shared" si="0"/>
        <v>100</v>
      </c>
      <c r="B12">
        <v>21</v>
      </c>
    </row>
    <row r="13" spans="1:2" x14ac:dyDescent="0.35">
      <c r="A13">
        <f t="shared" si="0"/>
        <v>110</v>
      </c>
    </row>
    <row r="14" spans="1:2" x14ac:dyDescent="0.35">
      <c r="A14" s="87">
        <f t="shared" si="0"/>
        <v>120</v>
      </c>
      <c r="B14">
        <v>16</v>
      </c>
    </row>
    <row r="15" spans="1:2" x14ac:dyDescent="0.35">
      <c r="A15" s="87">
        <f t="shared" si="0"/>
        <v>130</v>
      </c>
      <c r="B15">
        <v>13</v>
      </c>
    </row>
    <row r="16" spans="1:2" x14ac:dyDescent="0.35">
      <c r="A16">
        <f t="shared" si="0"/>
        <v>140</v>
      </c>
    </row>
    <row r="17" spans="1:2" x14ac:dyDescent="0.35">
      <c r="A17" s="87">
        <f t="shared" si="0"/>
        <v>150</v>
      </c>
      <c r="B17">
        <v>10</v>
      </c>
    </row>
    <row r="18" spans="1:2" x14ac:dyDescent="0.35">
      <c r="A18">
        <f t="shared" si="0"/>
        <v>160</v>
      </c>
    </row>
    <row r="19" spans="1:2" x14ac:dyDescent="0.35">
      <c r="A19">
        <f t="shared" si="0"/>
        <v>170</v>
      </c>
    </row>
    <row r="20" spans="1:2" x14ac:dyDescent="0.35">
      <c r="A20">
        <f t="shared" si="0"/>
        <v>180</v>
      </c>
    </row>
    <row r="21" spans="1:2" x14ac:dyDescent="0.35">
      <c r="A21">
        <f t="shared" si="0"/>
        <v>190</v>
      </c>
    </row>
    <row r="22" spans="1:2" x14ac:dyDescent="0.35">
      <c r="A22" s="87">
        <f t="shared" si="0"/>
        <v>200</v>
      </c>
      <c r="B22">
        <v>5.6</v>
      </c>
    </row>
    <row r="23" spans="1:2" x14ac:dyDescent="0.35">
      <c r="A23">
        <f t="shared" si="0"/>
        <v>210</v>
      </c>
    </row>
    <row r="24" spans="1:2" x14ac:dyDescent="0.35">
      <c r="A24">
        <f t="shared" si="0"/>
        <v>220</v>
      </c>
    </row>
    <row r="25" spans="1:2" x14ac:dyDescent="0.35">
      <c r="A25">
        <f t="shared" si="0"/>
        <v>230</v>
      </c>
    </row>
    <row r="26" spans="1:2" x14ac:dyDescent="0.35">
      <c r="A26">
        <f t="shared" si="0"/>
        <v>240</v>
      </c>
    </row>
    <row r="27" spans="1:2" x14ac:dyDescent="0.35">
      <c r="A27" s="87">
        <f t="shared" si="0"/>
        <v>250</v>
      </c>
      <c r="B27">
        <v>3.2</v>
      </c>
    </row>
    <row r="28" spans="1:2" x14ac:dyDescent="0.35">
      <c r="A28">
        <f t="shared" si="0"/>
        <v>260</v>
      </c>
    </row>
    <row r="29" spans="1:2" x14ac:dyDescent="0.35">
      <c r="A29">
        <f t="shared" si="0"/>
        <v>270</v>
      </c>
    </row>
    <row r="30" spans="1:2" x14ac:dyDescent="0.35">
      <c r="A30">
        <f t="shared" si="0"/>
        <v>280</v>
      </c>
    </row>
    <row r="31" spans="1:2" x14ac:dyDescent="0.35">
      <c r="A31">
        <f t="shared" si="0"/>
        <v>290</v>
      </c>
    </row>
    <row r="32" spans="1:2" x14ac:dyDescent="0.35">
      <c r="A32" s="87">
        <f t="shared" si="0"/>
        <v>300</v>
      </c>
      <c r="B32">
        <v>1.8</v>
      </c>
    </row>
    <row r="33" spans="1:2" x14ac:dyDescent="0.35">
      <c r="A33">
        <f t="shared" si="0"/>
        <v>310</v>
      </c>
    </row>
    <row r="34" spans="1:2" x14ac:dyDescent="0.35">
      <c r="A34">
        <f t="shared" si="0"/>
        <v>320</v>
      </c>
    </row>
    <row r="35" spans="1:2" x14ac:dyDescent="0.35">
      <c r="A35">
        <f t="shared" si="0"/>
        <v>330</v>
      </c>
    </row>
    <row r="36" spans="1:2" x14ac:dyDescent="0.35">
      <c r="A36">
        <f t="shared" si="0"/>
        <v>340</v>
      </c>
    </row>
    <row r="37" spans="1:2" x14ac:dyDescent="0.35">
      <c r="A37" s="87">
        <f t="shared" si="0"/>
        <v>350</v>
      </c>
      <c r="B37">
        <v>1</v>
      </c>
    </row>
    <row r="38" spans="1:2" x14ac:dyDescent="0.35">
      <c r="A38">
        <f t="shared" si="0"/>
        <v>360</v>
      </c>
    </row>
    <row r="39" spans="1:2" x14ac:dyDescent="0.35">
      <c r="A39" s="33">
        <f t="shared" si="0"/>
        <v>370</v>
      </c>
    </row>
    <row r="40" spans="1:2" x14ac:dyDescent="0.35">
      <c r="A40" s="33">
        <f t="shared" ref="A40:A42" si="1">A39+10</f>
        <v>380</v>
      </c>
    </row>
    <row r="41" spans="1:2" x14ac:dyDescent="0.35">
      <c r="A41" s="33">
        <f t="shared" si="1"/>
        <v>390</v>
      </c>
      <c r="B41">
        <v>0.65</v>
      </c>
    </row>
    <row r="42" spans="1:2" x14ac:dyDescent="0.35">
      <c r="A42" s="33">
        <f t="shared" si="1"/>
        <v>400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42"/>
  <sheetViews>
    <sheetView workbookViewId="0">
      <selection activeCell="B14" sqref="B14"/>
    </sheetView>
  </sheetViews>
  <sheetFormatPr defaultRowHeight="14.5" x14ac:dyDescent="0.35"/>
  <cols>
    <col min="1" max="1" width="9.1796875" style="12"/>
    <col min="2" max="2" width="12.81640625" style="12" customWidth="1"/>
  </cols>
  <sheetData>
    <row r="1" spans="1:2" x14ac:dyDescent="0.35">
      <c r="A1" s="12" t="s">
        <v>72</v>
      </c>
      <c r="B1" s="12" t="s">
        <v>72</v>
      </c>
    </row>
    <row r="2" spans="1:2" x14ac:dyDescent="0.35">
      <c r="A2" s="88">
        <v>0</v>
      </c>
      <c r="B2" s="39">
        <v>3.9</v>
      </c>
    </row>
    <row r="3" spans="1:2" x14ac:dyDescent="0.35">
      <c r="A3" s="12">
        <f>A2+10</f>
        <v>10</v>
      </c>
      <c r="B3" s="39"/>
    </row>
    <row r="4" spans="1:2" x14ac:dyDescent="0.35">
      <c r="A4" s="12">
        <f t="shared" ref="A4:A42" si="0">A3+10</f>
        <v>20</v>
      </c>
      <c r="B4" s="39"/>
    </row>
    <row r="5" spans="1:2" x14ac:dyDescent="0.35">
      <c r="A5" s="12">
        <f t="shared" si="0"/>
        <v>30</v>
      </c>
      <c r="B5" s="39"/>
    </row>
    <row r="6" spans="1:2" x14ac:dyDescent="0.35">
      <c r="A6" s="12">
        <f t="shared" si="0"/>
        <v>40</v>
      </c>
      <c r="B6" s="39"/>
    </row>
    <row r="7" spans="1:2" x14ac:dyDescent="0.35">
      <c r="A7" s="88">
        <f t="shared" si="0"/>
        <v>50</v>
      </c>
      <c r="B7" s="39">
        <v>2.1</v>
      </c>
    </row>
    <row r="8" spans="1:2" x14ac:dyDescent="0.35">
      <c r="A8" s="12">
        <f t="shared" si="0"/>
        <v>60</v>
      </c>
      <c r="B8" s="39"/>
    </row>
    <row r="9" spans="1:2" x14ac:dyDescent="0.35">
      <c r="A9" s="12">
        <f t="shared" si="0"/>
        <v>70</v>
      </c>
      <c r="B9" s="39"/>
    </row>
    <row r="10" spans="1:2" x14ac:dyDescent="0.35">
      <c r="A10" s="12">
        <f t="shared" si="0"/>
        <v>80</v>
      </c>
      <c r="B10" s="39"/>
    </row>
    <row r="11" spans="1:2" x14ac:dyDescent="0.35">
      <c r="A11" s="12">
        <f t="shared" si="0"/>
        <v>90</v>
      </c>
      <c r="B11" s="39"/>
    </row>
    <row r="12" spans="1:2" x14ac:dyDescent="0.35">
      <c r="A12" s="88">
        <f t="shared" si="0"/>
        <v>100</v>
      </c>
      <c r="B12" s="39">
        <v>1.2</v>
      </c>
    </row>
    <row r="13" spans="1:2" x14ac:dyDescent="0.35">
      <c r="A13" s="12">
        <f t="shared" si="0"/>
        <v>110</v>
      </c>
      <c r="B13" s="39"/>
    </row>
    <row r="14" spans="1:2" x14ac:dyDescent="0.35">
      <c r="A14" s="88">
        <f t="shared" si="0"/>
        <v>120</v>
      </c>
      <c r="B14" s="39">
        <v>0.9</v>
      </c>
    </row>
    <row r="15" spans="1:2" x14ac:dyDescent="0.35">
      <c r="A15" s="88">
        <f t="shared" si="0"/>
        <v>130</v>
      </c>
      <c r="B15" s="39">
        <v>0.8</v>
      </c>
    </row>
    <row r="16" spans="1:2" x14ac:dyDescent="0.35">
      <c r="A16" s="12">
        <f t="shared" si="0"/>
        <v>140</v>
      </c>
      <c r="B16" s="39"/>
    </row>
    <row r="17" spans="1:2" x14ac:dyDescent="0.35">
      <c r="A17" s="88">
        <f t="shared" si="0"/>
        <v>150</v>
      </c>
      <c r="B17" s="39">
        <v>0.6</v>
      </c>
    </row>
    <row r="18" spans="1:2" x14ac:dyDescent="0.35">
      <c r="A18" s="12">
        <f t="shared" si="0"/>
        <v>160</v>
      </c>
      <c r="B18" s="39"/>
    </row>
    <row r="19" spans="1:2" x14ac:dyDescent="0.35">
      <c r="A19" s="12">
        <f t="shared" si="0"/>
        <v>170</v>
      </c>
      <c r="B19" s="39"/>
    </row>
    <row r="20" spans="1:2" x14ac:dyDescent="0.35">
      <c r="A20" s="12">
        <f t="shared" si="0"/>
        <v>180</v>
      </c>
      <c r="B20" s="39"/>
    </row>
    <row r="21" spans="1:2" x14ac:dyDescent="0.35">
      <c r="A21" s="12">
        <f t="shared" si="0"/>
        <v>190</v>
      </c>
      <c r="B21" s="39"/>
    </row>
    <row r="22" spans="1:2" x14ac:dyDescent="0.35">
      <c r="A22" s="88">
        <f t="shared" si="0"/>
        <v>200</v>
      </c>
      <c r="B22" s="39">
        <v>0.35</v>
      </c>
    </row>
    <row r="23" spans="1:2" x14ac:dyDescent="0.35">
      <c r="A23" s="12">
        <f t="shared" si="0"/>
        <v>210</v>
      </c>
      <c r="B23" s="39"/>
    </row>
    <row r="24" spans="1:2" x14ac:dyDescent="0.35">
      <c r="A24" s="12">
        <f t="shared" si="0"/>
        <v>220</v>
      </c>
      <c r="B24" s="39"/>
    </row>
    <row r="25" spans="1:2" x14ac:dyDescent="0.35">
      <c r="A25" s="12">
        <f t="shared" si="0"/>
        <v>230</v>
      </c>
      <c r="B25" s="39"/>
    </row>
    <row r="26" spans="1:2" x14ac:dyDescent="0.35">
      <c r="A26" s="12">
        <f t="shared" si="0"/>
        <v>240</v>
      </c>
      <c r="B26" s="39"/>
    </row>
    <row r="27" spans="1:2" x14ac:dyDescent="0.35">
      <c r="A27" s="88">
        <f t="shared" si="0"/>
        <v>250</v>
      </c>
      <c r="B27" s="39">
        <v>0.22</v>
      </c>
    </row>
    <row r="28" spans="1:2" x14ac:dyDescent="0.35">
      <c r="A28" s="12">
        <f t="shared" si="0"/>
        <v>260</v>
      </c>
      <c r="B28" s="39"/>
    </row>
    <row r="29" spans="1:2" x14ac:dyDescent="0.35">
      <c r="A29" s="12">
        <f t="shared" si="0"/>
        <v>270</v>
      </c>
      <c r="B29" s="39"/>
    </row>
    <row r="30" spans="1:2" x14ac:dyDescent="0.35">
      <c r="A30" s="12">
        <f t="shared" si="0"/>
        <v>280</v>
      </c>
      <c r="B30" s="39"/>
    </row>
    <row r="31" spans="1:2" x14ac:dyDescent="0.35">
      <c r="A31" s="12">
        <f t="shared" si="0"/>
        <v>290</v>
      </c>
      <c r="B31" s="39"/>
    </row>
    <row r="32" spans="1:2" x14ac:dyDescent="0.35">
      <c r="A32" s="88">
        <f t="shared" si="0"/>
        <v>300</v>
      </c>
      <c r="B32" s="39">
        <v>0.15</v>
      </c>
    </row>
    <row r="33" spans="1:2" x14ac:dyDescent="0.35">
      <c r="A33" s="12">
        <f t="shared" si="0"/>
        <v>310</v>
      </c>
      <c r="B33" s="39"/>
    </row>
    <row r="34" spans="1:2" x14ac:dyDescent="0.35">
      <c r="A34" s="12">
        <f t="shared" si="0"/>
        <v>320</v>
      </c>
      <c r="B34" s="39"/>
    </row>
    <row r="35" spans="1:2" x14ac:dyDescent="0.35">
      <c r="A35" s="12">
        <f t="shared" si="0"/>
        <v>330</v>
      </c>
      <c r="B35" s="39"/>
    </row>
    <row r="36" spans="1:2" x14ac:dyDescent="0.35">
      <c r="A36" s="12">
        <f t="shared" si="0"/>
        <v>340</v>
      </c>
      <c r="B36" s="39"/>
    </row>
    <row r="37" spans="1:2" x14ac:dyDescent="0.35">
      <c r="A37" s="88">
        <f t="shared" si="0"/>
        <v>350</v>
      </c>
      <c r="B37" s="39">
        <v>0.12</v>
      </c>
    </row>
    <row r="38" spans="1:2" x14ac:dyDescent="0.35">
      <c r="A38" s="12">
        <f t="shared" si="0"/>
        <v>360</v>
      </c>
      <c r="B38" s="39"/>
    </row>
    <row r="39" spans="1:2" x14ac:dyDescent="0.35">
      <c r="A39" s="37">
        <f t="shared" si="0"/>
        <v>370</v>
      </c>
      <c r="B39" s="39"/>
    </row>
    <row r="40" spans="1:2" x14ac:dyDescent="0.35">
      <c r="A40" s="37">
        <f t="shared" si="0"/>
        <v>380</v>
      </c>
      <c r="B40" s="39"/>
    </row>
    <row r="41" spans="1:2" x14ac:dyDescent="0.35">
      <c r="A41" s="37">
        <f t="shared" si="0"/>
        <v>390</v>
      </c>
      <c r="B41" s="39">
        <v>0.1</v>
      </c>
    </row>
    <row r="42" spans="1:2" x14ac:dyDescent="0.35">
      <c r="A42" s="37">
        <f t="shared" si="0"/>
        <v>400</v>
      </c>
      <c r="B42" s="39"/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42"/>
  <sheetViews>
    <sheetView zoomScale="115" zoomScaleNormal="115" workbookViewId="0">
      <selection activeCell="R23" sqref="R23"/>
    </sheetView>
  </sheetViews>
  <sheetFormatPr defaultRowHeight="14.5" x14ac:dyDescent="0.35"/>
  <cols>
    <col min="1" max="1" width="9.1796875" style="12"/>
    <col min="2" max="2" width="12.81640625" style="12" customWidth="1"/>
  </cols>
  <sheetData>
    <row r="1" spans="1:2" x14ac:dyDescent="0.35">
      <c r="A1" s="12" t="s">
        <v>72</v>
      </c>
      <c r="B1" s="12" t="s">
        <v>28</v>
      </c>
    </row>
    <row r="2" spans="1:2" x14ac:dyDescent="0.35">
      <c r="A2" s="88">
        <v>0</v>
      </c>
      <c r="B2" s="39">
        <v>13.1</v>
      </c>
    </row>
    <row r="3" spans="1:2" x14ac:dyDescent="0.35">
      <c r="A3" s="12">
        <f>A2+10</f>
        <v>10</v>
      </c>
      <c r="B3" s="39"/>
    </row>
    <row r="4" spans="1:2" x14ac:dyDescent="0.35">
      <c r="A4" s="12">
        <f t="shared" ref="A4:A42" si="0">A3+10</f>
        <v>20</v>
      </c>
      <c r="B4" s="39"/>
    </row>
    <row r="5" spans="1:2" x14ac:dyDescent="0.35">
      <c r="A5" s="12">
        <f t="shared" si="0"/>
        <v>30</v>
      </c>
      <c r="B5" s="39"/>
    </row>
    <row r="6" spans="1:2" x14ac:dyDescent="0.35">
      <c r="A6" s="12">
        <f t="shared" si="0"/>
        <v>40</v>
      </c>
      <c r="B6" s="39"/>
    </row>
    <row r="7" spans="1:2" x14ac:dyDescent="0.35">
      <c r="A7" s="88">
        <f t="shared" si="0"/>
        <v>50</v>
      </c>
      <c r="B7" s="39">
        <v>12.4</v>
      </c>
    </row>
    <row r="8" spans="1:2" x14ac:dyDescent="0.35">
      <c r="A8" s="12">
        <f t="shared" si="0"/>
        <v>60</v>
      </c>
      <c r="B8" s="39"/>
    </row>
    <row r="9" spans="1:2" x14ac:dyDescent="0.35">
      <c r="A9" s="12">
        <f t="shared" si="0"/>
        <v>70</v>
      </c>
      <c r="B9" s="39"/>
    </row>
    <row r="10" spans="1:2" x14ac:dyDescent="0.35">
      <c r="A10" s="12">
        <f t="shared" si="0"/>
        <v>80</v>
      </c>
      <c r="B10" s="39"/>
    </row>
    <row r="11" spans="1:2" x14ac:dyDescent="0.35">
      <c r="A11" s="12">
        <f t="shared" si="0"/>
        <v>90</v>
      </c>
      <c r="B11" s="39"/>
    </row>
    <row r="12" spans="1:2" x14ac:dyDescent="0.35">
      <c r="A12" s="88">
        <f t="shared" si="0"/>
        <v>100</v>
      </c>
      <c r="B12" s="39">
        <v>11.75</v>
      </c>
    </row>
    <row r="13" spans="1:2" x14ac:dyDescent="0.35">
      <c r="A13" s="12">
        <f t="shared" si="0"/>
        <v>110</v>
      </c>
      <c r="B13" s="39"/>
    </row>
    <row r="14" spans="1:2" x14ac:dyDescent="0.35">
      <c r="A14" s="88">
        <f t="shared" si="0"/>
        <v>120</v>
      </c>
      <c r="B14" s="39">
        <v>13</v>
      </c>
    </row>
    <row r="15" spans="1:2" x14ac:dyDescent="0.35">
      <c r="A15" s="88">
        <f t="shared" si="0"/>
        <v>130</v>
      </c>
      <c r="B15" s="39">
        <v>12.8</v>
      </c>
    </row>
    <row r="16" spans="1:2" x14ac:dyDescent="0.35">
      <c r="A16" s="12">
        <f t="shared" si="0"/>
        <v>140</v>
      </c>
      <c r="B16" s="39"/>
    </row>
    <row r="17" spans="1:2" x14ac:dyDescent="0.35">
      <c r="A17" s="88">
        <f t="shared" si="0"/>
        <v>150</v>
      </c>
      <c r="B17" s="39">
        <v>12.6</v>
      </c>
    </row>
    <row r="18" spans="1:2" x14ac:dyDescent="0.35">
      <c r="A18" s="12">
        <f t="shared" si="0"/>
        <v>160</v>
      </c>
      <c r="B18" s="39"/>
    </row>
    <row r="19" spans="1:2" x14ac:dyDescent="0.35">
      <c r="A19" s="12">
        <f t="shared" si="0"/>
        <v>170</v>
      </c>
      <c r="B19" s="39"/>
    </row>
    <row r="20" spans="1:2" x14ac:dyDescent="0.35">
      <c r="A20" s="12">
        <f t="shared" si="0"/>
        <v>180</v>
      </c>
      <c r="B20" s="39"/>
    </row>
    <row r="21" spans="1:2" x14ac:dyDescent="0.35">
      <c r="A21" s="12">
        <f t="shared" si="0"/>
        <v>190</v>
      </c>
      <c r="B21" s="39"/>
    </row>
    <row r="22" spans="1:2" x14ac:dyDescent="0.35">
      <c r="A22" s="88">
        <f t="shared" si="0"/>
        <v>200</v>
      </c>
      <c r="B22" s="39">
        <v>11.85</v>
      </c>
    </row>
    <row r="23" spans="1:2" x14ac:dyDescent="0.35">
      <c r="A23" s="12">
        <f t="shared" si="0"/>
        <v>210</v>
      </c>
      <c r="B23" s="39"/>
    </row>
    <row r="24" spans="1:2" x14ac:dyDescent="0.35">
      <c r="A24" s="12">
        <f t="shared" si="0"/>
        <v>220</v>
      </c>
      <c r="B24" s="39"/>
    </row>
    <row r="25" spans="1:2" x14ac:dyDescent="0.35">
      <c r="A25" s="12">
        <f t="shared" si="0"/>
        <v>230</v>
      </c>
      <c r="B25" s="39"/>
    </row>
    <row r="26" spans="1:2" x14ac:dyDescent="0.35">
      <c r="A26" s="12">
        <f t="shared" si="0"/>
        <v>240</v>
      </c>
      <c r="B26" s="39"/>
    </row>
    <row r="27" spans="1:2" x14ac:dyDescent="0.35">
      <c r="A27" s="88">
        <f t="shared" si="0"/>
        <v>250</v>
      </c>
      <c r="B27" s="39">
        <v>11.1</v>
      </c>
    </row>
    <row r="28" spans="1:2" x14ac:dyDescent="0.35">
      <c r="A28" s="12">
        <f t="shared" si="0"/>
        <v>260</v>
      </c>
      <c r="B28" s="39"/>
    </row>
    <row r="29" spans="1:2" x14ac:dyDescent="0.35">
      <c r="A29" s="12">
        <f t="shared" si="0"/>
        <v>270</v>
      </c>
      <c r="B29" s="39"/>
    </row>
    <row r="30" spans="1:2" x14ac:dyDescent="0.35">
      <c r="A30" s="12">
        <f t="shared" si="0"/>
        <v>280</v>
      </c>
      <c r="B30" s="39"/>
    </row>
    <row r="31" spans="1:2" x14ac:dyDescent="0.35">
      <c r="A31" s="12">
        <f t="shared" si="0"/>
        <v>290</v>
      </c>
      <c r="B31" s="39"/>
    </row>
    <row r="32" spans="1:2" x14ac:dyDescent="0.35">
      <c r="A32" s="88">
        <f t="shared" si="0"/>
        <v>300</v>
      </c>
      <c r="B32" s="39">
        <v>10.4</v>
      </c>
    </row>
    <row r="33" spans="1:2" x14ac:dyDescent="0.35">
      <c r="A33" s="12">
        <f t="shared" si="0"/>
        <v>310</v>
      </c>
      <c r="B33" s="39"/>
    </row>
    <row r="34" spans="1:2" x14ac:dyDescent="0.35">
      <c r="A34" s="12">
        <f t="shared" si="0"/>
        <v>320</v>
      </c>
      <c r="B34" s="39"/>
    </row>
    <row r="35" spans="1:2" x14ac:dyDescent="0.35">
      <c r="A35" s="12">
        <f t="shared" si="0"/>
        <v>330</v>
      </c>
      <c r="B35" s="39"/>
    </row>
    <row r="36" spans="1:2" x14ac:dyDescent="0.35">
      <c r="A36" s="12">
        <f t="shared" si="0"/>
        <v>340</v>
      </c>
      <c r="B36" s="39"/>
    </row>
    <row r="37" spans="1:2" x14ac:dyDescent="0.35">
      <c r="A37" s="88">
        <f t="shared" si="0"/>
        <v>350</v>
      </c>
      <c r="B37" s="39">
        <v>9.6</v>
      </c>
    </row>
    <row r="38" spans="1:2" x14ac:dyDescent="0.35">
      <c r="A38" s="12">
        <f t="shared" si="0"/>
        <v>360</v>
      </c>
      <c r="B38" s="39"/>
    </row>
    <row r="39" spans="1:2" x14ac:dyDescent="0.35">
      <c r="A39" s="37">
        <f t="shared" si="0"/>
        <v>370</v>
      </c>
      <c r="B39" s="39"/>
    </row>
    <row r="40" spans="1:2" x14ac:dyDescent="0.35">
      <c r="A40" s="37">
        <f t="shared" si="0"/>
        <v>380</v>
      </c>
      <c r="B40" s="39"/>
    </row>
    <row r="41" spans="1:2" x14ac:dyDescent="0.35">
      <c r="A41" s="37">
        <f t="shared" si="0"/>
        <v>390</v>
      </c>
      <c r="B41" s="39">
        <v>9</v>
      </c>
    </row>
    <row r="42" spans="1:2" x14ac:dyDescent="0.35">
      <c r="A42" s="37">
        <f t="shared" si="0"/>
        <v>400</v>
      </c>
      <c r="B42" s="39"/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42"/>
  <sheetViews>
    <sheetView zoomScaleNormal="100" workbookViewId="0">
      <selection activeCell="O25" sqref="O25"/>
    </sheetView>
  </sheetViews>
  <sheetFormatPr defaultRowHeight="14.5" x14ac:dyDescent="0.35"/>
  <cols>
    <col min="1" max="1" width="9.1796875" style="12"/>
    <col min="2" max="2" width="12.81640625" style="12" customWidth="1"/>
  </cols>
  <sheetData>
    <row r="1" spans="1:2" x14ac:dyDescent="0.35">
      <c r="A1" s="12" t="s">
        <v>72</v>
      </c>
      <c r="B1" s="12" t="s">
        <v>106</v>
      </c>
    </row>
    <row r="2" spans="1:2" x14ac:dyDescent="0.35">
      <c r="A2" s="88">
        <v>0</v>
      </c>
      <c r="B2" s="39">
        <v>7.4</v>
      </c>
    </row>
    <row r="3" spans="1:2" x14ac:dyDescent="0.35">
      <c r="A3" s="12">
        <f>A2+10</f>
        <v>10</v>
      </c>
      <c r="B3" s="39"/>
    </row>
    <row r="4" spans="1:2" x14ac:dyDescent="0.35">
      <c r="A4" s="12">
        <f t="shared" ref="A4:A42" si="0">A3+10</f>
        <v>20</v>
      </c>
      <c r="B4" s="39"/>
    </row>
    <row r="5" spans="1:2" x14ac:dyDescent="0.35">
      <c r="A5" s="12">
        <f t="shared" si="0"/>
        <v>30</v>
      </c>
      <c r="B5" s="39"/>
    </row>
    <row r="6" spans="1:2" x14ac:dyDescent="0.35">
      <c r="A6" s="12">
        <f t="shared" si="0"/>
        <v>40</v>
      </c>
      <c r="B6" s="39"/>
    </row>
    <row r="7" spans="1:2" x14ac:dyDescent="0.35">
      <c r="A7" s="88">
        <f t="shared" si="0"/>
        <v>50</v>
      </c>
      <c r="B7" s="39">
        <v>6.5</v>
      </c>
    </row>
    <row r="8" spans="1:2" x14ac:dyDescent="0.35">
      <c r="A8" s="12">
        <f t="shared" si="0"/>
        <v>60</v>
      </c>
      <c r="B8" s="39"/>
    </row>
    <row r="9" spans="1:2" x14ac:dyDescent="0.35">
      <c r="A9" s="12">
        <f t="shared" si="0"/>
        <v>70</v>
      </c>
      <c r="B9" s="39"/>
    </row>
    <row r="10" spans="1:2" x14ac:dyDescent="0.35">
      <c r="A10" s="12">
        <f t="shared" si="0"/>
        <v>80</v>
      </c>
      <c r="B10" s="39"/>
    </row>
    <row r="11" spans="1:2" x14ac:dyDescent="0.35">
      <c r="A11" s="12">
        <f t="shared" si="0"/>
        <v>90</v>
      </c>
      <c r="B11" s="39"/>
    </row>
    <row r="12" spans="1:2" x14ac:dyDescent="0.35">
      <c r="A12" s="88">
        <f t="shared" si="0"/>
        <v>100</v>
      </c>
      <c r="B12" s="39">
        <v>6</v>
      </c>
    </row>
    <row r="13" spans="1:2" x14ac:dyDescent="0.35">
      <c r="A13" s="12">
        <f t="shared" si="0"/>
        <v>110</v>
      </c>
      <c r="B13" s="39"/>
    </row>
    <row r="14" spans="1:2" x14ac:dyDescent="0.35">
      <c r="A14" s="88">
        <f t="shared" si="0"/>
        <v>120</v>
      </c>
      <c r="B14" s="39">
        <v>1.75</v>
      </c>
    </row>
    <row r="15" spans="1:2" x14ac:dyDescent="0.35">
      <c r="A15" s="88">
        <f t="shared" si="0"/>
        <v>130</v>
      </c>
      <c r="B15" s="39">
        <v>1.7</v>
      </c>
    </row>
    <row r="16" spans="1:2" x14ac:dyDescent="0.35">
      <c r="A16" s="12">
        <f t="shared" si="0"/>
        <v>140</v>
      </c>
      <c r="B16" s="39"/>
    </row>
    <row r="17" spans="1:2" x14ac:dyDescent="0.35">
      <c r="A17" s="88">
        <f t="shared" si="0"/>
        <v>150</v>
      </c>
      <c r="B17" s="39">
        <v>1.6</v>
      </c>
    </row>
    <row r="18" spans="1:2" x14ac:dyDescent="0.35">
      <c r="A18" s="12">
        <f t="shared" si="0"/>
        <v>160</v>
      </c>
      <c r="B18" s="39"/>
    </row>
    <row r="19" spans="1:2" x14ac:dyDescent="0.35">
      <c r="A19" s="12">
        <f t="shared" si="0"/>
        <v>170</v>
      </c>
      <c r="B19" s="39"/>
    </row>
    <row r="20" spans="1:2" x14ac:dyDescent="0.35">
      <c r="A20" s="12">
        <f t="shared" si="0"/>
        <v>180</v>
      </c>
      <c r="B20" s="39"/>
    </row>
    <row r="21" spans="1:2" x14ac:dyDescent="0.35">
      <c r="A21" s="12">
        <f t="shared" si="0"/>
        <v>190</v>
      </c>
      <c r="B21" s="39"/>
    </row>
    <row r="22" spans="1:2" x14ac:dyDescent="0.35">
      <c r="A22" s="88">
        <f t="shared" si="0"/>
        <v>200</v>
      </c>
      <c r="B22" s="39">
        <v>1.5</v>
      </c>
    </row>
    <row r="23" spans="1:2" x14ac:dyDescent="0.35">
      <c r="A23" s="12">
        <f t="shared" si="0"/>
        <v>210</v>
      </c>
      <c r="B23" s="39"/>
    </row>
    <row r="24" spans="1:2" x14ac:dyDescent="0.35">
      <c r="A24" s="12">
        <f t="shared" si="0"/>
        <v>220</v>
      </c>
      <c r="B24" s="39"/>
    </row>
    <row r="25" spans="1:2" x14ac:dyDescent="0.35">
      <c r="A25" s="12">
        <f t="shared" si="0"/>
        <v>230</v>
      </c>
      <c r="B25" s="39"/>
    </row>
    <row r="26" spans="1:2" x14ac:dyDescent="0.35">
      <c r="A26" s="12">
        <f t="shared" si="0"/>
        <v>240</v>
      </c>
      <c r="B26" s="39"/>
    </row>
    <row r="27" spans="1:2" x14ac:dyDescent="0.35">
      <c r="A27" s="88">
        <f t="shared" si="0"/>
        <v>250</v>
      </c>
      <c r="B27" s="39">
        <v>1.4</v>
      </c>
    </row>
    <row r="28" spans="1:2" x14ac:dyDescent="0.35">
      <c r="A28" s="12">
        <f t="shared" si="0"/>
        <v>260</v>
      </c>
      <c r="B28" s="39"/>
    </row>
    <row r="29" spans="1:2" x14ac:dyDescent="0.35">
      <c r="A29" s="12">
        <f t="shared" si="0"/>
        <v>270</v>
      </c>
      <c r="B29" s="39"/>
    </row>
    <row r="30" spans="1:2" x14ac:dyDescent="0.35">
      <c r="A30" s="12">
        <f t="shared" si="0"/>
        <v>280</v>
      </c>
      <c r="B30" s="39"/>
    </row>
    <row r="31" spans="1:2" x14ac:dyDescent="0.35">
      <c r="A31" s="12">
        <f t="shared" si="0"/>
        <v>290</v>
      </c>
      <c r="B31" s="39"/>
    </row>
    <row r="32" spans="1:2" x14ac:dyDescent="0.35">
      <c r="A32" s="88">
        <f t="shared" si="0"/>
        <v>300</v>
      </c>
      <c r="B32" s="39">
        <v>1.35</v>
      </c>
    </row>
    <row r="33" spans="1:2" x14ac:dyDescent="0.35">
      <c r="A33" s="12">
        <f t="shared" si="0"/>
        <v>310</v>
      </c>
      <c r="B33" s="39"/>
    </row>
    <row r="34" spans="1:2" x14ac:dyDescent="0.35">
      <c r="A34" s="12">
        <f t="shared" si="0"/>
        <v>320</v>
      </c>
      <c r="B34" s="39"/>
    </row>
    <row r="35" spans="1:2" x14ac:dyDescent="0.35">
      <c r="A35" s="12">
        <f t="shared" si="0"/>
        <v>330</v>
      </c>
      <c r="B35" s="39"/>
    </row>
    <row r="36" spans="1:2" x14ac:dyDescent="0.35">
      <c r="A36" s="12">
        <f t="shared" si="0"/>
        <v>340</v>
      </c>
      <c r="B36" s="39"/>
    </row>
    <row r="37" spans="1:2" x14ac:dyDescent="0.35">
      <c r="A37" s="88">
        <f t="shared" si="0"/>
        <v>350</v>
      </c>
      <c r="B37" s="39">
        <v>1.3</v>
      </c>
    </row>
    <row r="38" spans="1:2" x14ac:dyDescent="0.35">
      <c r="A38" s="12">
        <f t="shared" si="0"/>
        <v>360</v>
      </c>
      <c r="B38" s="39"/>
    </row>
    <row r="39" spans="1:2" x14ac:dyDescent="0.35">
      <c r="A39" s="37">
        <f t="shared" si="0"/>
        <v>370</v>
      </c>
      <c r="B39" s="39"/>
    </row>
    <row r="40" spans="1:2" x14ac:dyDescent="0.35">
      <c r="A40" s="37">
        <f t="shared" si="0"/>
        <v>380</v>
      </c>
      <c r="B40" s="39"/>
    </row>
    <row r="41" spans="1:2" x14ac:dyDescent="0.35">
      <c r="A41" s="37">
        <f t="shared" si="0"/>
        <v>390</v>
      </c>
      <c r="B41" s="39">
        <v>1.35</v>
      </c>
    </row>
    <row r="42" spans="1:2" x14ac:dyDescent="0.35">
      <c r="A42" s="37">
        <f t="shared" si="0"/>
        <v>400</v>
      </c>
      <c r="B42" s="39"/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42"/>
  <sheetViews>
    <sheetView workbookViewId="0">
      <selection activeCell="X8" sqref="X8"/>
    </sheetView>
  </sheetViews>
  <sheetFormatPr defaultRowHeight="14.5" x14ac:dyDescent="0.35"/>
  <cols>
    <col min="1" max="1" width="9.1796875" style="12"/>
    <col min="3" max="3" width="9.1796875" style="12"/>
  </cols>
  <sheetData>
    <row r="1" spans="1:12" x14ac:dyDescent="0.35">
      <c r="A1" s="12" t="s">
        <v>72</v>
      </c>
      <c r="B1" s="38" t="s">
        <v>104</v>
      </c>
      <c r="C1" s="85"/>
      <c r="K1" s="12" t="s">
        <v>72</v>
      </c>
      <c r="L1" s="38" t="s">
        <v>104</v>
      </c>
    </row>
    <row r="2" spans="1:12" x14ac:dyDescent="0.35">
      <c r="A2" s="88">
        <v>0</v>
      </c>
      <c r="B2" s="80">
        <v>7</v>
      </c>
      <c r="K2" s="88">
        <v>0</v>
      </c>
      <c r="L2" s="80">
        <v>7</v>
      </c>
    </row>
    <row r="3" spans="1:12" x14ac:dyDescent="0.35">
      <c r="A3" s="12">
        <f>A2+10</f>
        <v>10</v>
      </c>
      <c r="B3" s="80"/>
      <c r="K3" s="12">
        <f>K2+10</f>
        <v>10</v>
      </c>
      <c r="L3" s="80"/>
    </row>
    <row r="4" spans="1:12" x14ac:dyDescent="0.35">
      <c r="A4" s="12">
        <f t="shared" ref="A4:A42" si="0">A3+10</f>
        <v>20</v>
      </c>
      <c r="B4" s="80"/>
      <c r="K4" s="12">
        <f t="shared" ref="K4:K13" si="1">K3+10</f>
        <v>20</v>
      </c>
      <c r="L4" s="80"/>
    </row>
    <row r="5" spans="1:12" x14ac:dyDescent="0.35">
      <c r="A5" s="12">
        <f t="shared" si="0"/>
        <v>30</v>
      </c>
      <c r="B5" s="80"/>
      <c r="K5" s="12">
        <f t="shared" si="1"/>
        <v>30</v>
      </c>
      <c r="L5" s="80"/>
    </row>
    <row r="6" spans="1:12" x14ac:dyDescent="0.35">
      <c r="A6" s="12">
        <f t="shared" si="0"/>
        <v>40</v>
      </c>
      <c r="B6" s="80"/>
      <c r="K6" s="12">
        <f t="shared" si="1"/>
        <v>40</v>
      </c>
      <c r="L6" s="80"/>
    </row>
    <row r="7" spans="1:12" x14ac:dyDescent="0.35">
      <c r="A7" s="88">
        <f t="shared" si="0"/>
        <v>50</v>
      </c>
      <c r="B7" s="80">
        <v>9</v>
      </c>
      <c r="K7" s="88">
        <f t="shared" si="1"/>
        <v>50</v>
      </c>
      <c r="L7" s="80">
        <v>9</v>
      </c>
    </row>
    <row r="8" spans="1:12" x14ac:dyDescent="0.35">
      <c r="A8" s="12">
        <f t="shared" si="0"/>
        <v>60</v>
      </c>
      <c r="B8" s="80"/>
      <c r="K8" s="12">
        <f t="shared" si="1"/>
        <v>60</v>
      </c>
      <c r="L8" s="80"/>
    </row>
    <row r="9" spans="1:12" x14ac:dyDescent="0.35">
      <c r="A9" s="12">
        <f t="shared" si="0"/>
        <v>70</v>
      </c>
      <c r="B9" s="80"/>
      <c r="K9" s="12">
        <f t="shared" si="1"/>
        <v>70</v>
      </c>
      <c r="L9" s="80"/>
    </row>
    <row r="10" spans="1:12" x14ac:dyDescent="0.35">
      <c r="A10" s="12">
        <f t="shared" si="0"/>
        <v>80</v>
      </c>
      <c r="B10" s="80"/>
      <c r="K10" s="12">
        <f t="shared" si="1"/>
        <v>80</v>
      </c>
      <c r="L10" s="80"/>
    </row>
    <row r="11" spans="1:12" x14ac:dyDescent="0.35">
      <c r="A11" s="12">
        <f t="shared" si="0"/>
        <v>90</v>
      </c>
      <c r="B11" s="80"/>
      <c r="K11" s="12">
        <f t="shared" si="1"/>
        <v>90</v>
      </c>
      <c r="L11" s="80"/>
    </row>
    <row r="12" spans="1:12" x14ac:dyDescent="0.35">
      <c r="A12" s="88">
        <f t="shared" si="0"/>
        <v>100</v>
      </c>
      <c r="B12" s="80">
        <v>13</v>
      </c>
      <c r="K12" s="88">
        <f t="shared" si="1"/>
        <v>100</v>
      </c>
      <c r="L12" s="80">
        <v>13</v>
      </c>
    </row>
    <row r="13" spans="1:12" x14ac:dyDescent="0.35">
      <c r="A13" s="12">
        <f t="shared" si="0"/>
        <v>110</v>
      </c>
      <c r="B13" s="80"/>
      <c r="K13" s="12">
        <f t="shared" si="1"/>
        <v>110</v>
      </c>
      <c r="L13" s="80"/>
    </row>
    <row r="14" spans="1:12" x14ac:dyDescent="0.35">
      <c r="A14" s="88">
        <f t="shared" si="0"/>
        <v>120</v>
      </c>
      <c r="B14" s="80">
        <v>8</v>
      </c>
    </row>
    <row r="15" spans="1:12" x14ac:dyDescent="0.35">
      <c r="A15" s="88">
        <f t="shared" si="0"/>
        <v>130</v>
      </c>
      <c r="B15" s="80"/>
    </row>
    <row r="16" spans="1:12" x14ac:dyDescent="0.35">
      <c r="A16" s="12">
        <f t="shared" si="0"/>
        <v>140</v>
      </c>
      <c r="B16" s="80"/>
    </row>
    <row r="17" spans="1:12" x14ac:dyDescent="0.35">
      <c r="A17" s="88">
        <f t="shared" si="0"/>
        <v>150</v>
      </c>
      <c r="B17" s="80"/>
      <c r="K17" s="88">
        <f>120</f>
        <v>120</v>
      </c>
      <c r="L17" s="80">
        <v>8</v>
      </c>
    </row>
    <row r="18" spans="1:12" x14ac:dyDescent="0.35">
      <c r="A18" s="12">
        <f t="shared" si="0"/>
        <v>160</v>
      </c>
      <c r="B18" s="80">
        <v>10</v>
      </c>
      <c r="K18" s="88">
        <f t="shared" ref="K18:K30" si="2">K17+10</f>
        <v>130</v>
      </c>
      <c r="L18" s="80"/>
    </row>
    <row r="19" spans="1:12" x14ac:dyDescent="0.35">
      <c r="A19" s="12">
        <f t="shared" si="0"/>
        <v>170</v>
      </c>
      <c r="B19" s="80"/>
      <c r="K19" s="12">
        <f t="shared" si="2"/>
        <v>140</v>
      </c>
      <c r="L19" s="80"/>
    </row>
    <row r="20" spans="1:12" x14ac:dyDescent="0.35">
      <c r="A20" s="12">
        <f t="shared" si="0"/>
        <v>180</v>
      </c>
      <c r="B20" s="80"/>
      <c r="K20" s="88">
        <f t="shared" si="2"/>
        <v>150</v>
      </c>
      <c r="L20" s="80"/>
    </row>
    <row r="21" spans="1:12" x14ac:dyDescent="0.35">
      <c r="A21" s="12">
        <f t="shared" si="0"/>
        <v>190</v>
      </c>
      <c r="B21" s="80"/>
      <c r="K21" s="12">
        <f t="shared" si="2"/>
        <v>160</v>
      </c>
      <c r="L21" s="80">
        <v>10</v>
      </c>
    </row>
    <row r="22" spans="1:12" x14ac:dyDescent="0.35">
      <c r="A22" s="88">
        <f t="shared" si="0"/>
        <v>200</v>
      </c>
      <c r="B22" s="80">
        <v>12</v>
      </c>
      <c r="K22" s="12">
        <f t="shared" si="2"/>
        <v>170</v>
      </c>
      <c r="L22" s="80"/>
    </row>
    <row r="23" spans="1:12" x14ac:dyDescent="0.35">
      <c r="A23" s="12">
        <f t="shared" si="0"/>
        <v>210</v>
      </c>
      <c r="B23" s="80"/>
      <c r="K23" s="12">
        <f t="shared" si="2"/>
        <v>180</v>
      </c>
      <c r="L23" s="80"/>
    </row>
    <row r="24" spans="1:12" x14ac:dyDescent="0.35">
      <c r="A24" s="12">
        <f t="shared" si="0"/>
        <v>220</v>
      </c>
      <c r="B24" s="80"/>
      <c r="K24" s="12">
        <f t="shared" si="2"/>
        <v>190</v>
      </c>
      <c r="L24" s="80"/>
    </row>
    <row r="25" spans="1:12" x14ac:dyDescent="0.35">
      <c r="A25" s="12">
        <f t="shared" si="0"/>
        <v>230</v>
      </c>
      <c r="B25" s="80"/>
      <c r="K25" s="88">
        <f t="shared" si="2"/>
        <v>200</v>
      </c>
      <c r="L25" s="80">
        <v>12</v>
      </c>
    </row>
    <row r="26" spans="1:12" x14ac:dyDescent="0.35">
      <c r="A26" s="12">
        <f t="shared" si="0"/>
        <v>240</v>
      </c>
      <c r="B26" s="80"/>
      <c r="K26" s="12">
        <f t="shared" si="2"/>
        <v>210</v>
      </c>
      <c r="L26" s="80"/>
    </row>
    <row r="27" spans="1:12" x14ac:dyDescent="0.35">
      <c r="A27" s="88">
        <f t="shared" si="0"/>
        <v>250</v>
      </c>
      <c r="B27" s="80">
        <v>18</v>
      </c>
      <c r="K27" s="12">
        <f t="shared" si="2"/>
        <v>220</v>
      </c>
      <c r="L27" s="80"/>
    </row>
    <row r="28" spans="1:12" x14ac:dyDescent="0.35">
      <c r="A28" s="12">
        <f t="shared" si="0"/>
        <v>260</v>
      </c>
      <c r="B28" s="80"/>
      <c r="K28" s="12">
        <f t="shared" si="2"/>
        <v>230</v>
      </c>
      <c r="L28" s="80"/>
    </row>
    <row r="29" spans="1:12" x14ac:dyDescent="0.35">
      <c r="A29" s="12">
        <f t="shared" si="0"/>
        <v>270</v>
      </c>
      <c r="B29" s="80"/>
      <c r="K29" s="12">
        <f t="shared" si="2"/>
        <v>240</v>
      </c>
      <c r="L29" s="80"/>
    </row>
    <row r="30" spans="1:12" x14ac:dyDescent="0.35">
      <c r="A30" s="12">
        <f t="shared" si="0"/>
        <v>280</v>
      </c>
      <c r="K30" s="88">
        <f t="shared" si="2"/>
        <v>250</v>
      </c>
      <c r="L30" s="80">
        <v>18</v>
      </c>
    </row>
    <row r="31" spans="1:12" x14ac:dyDescent="0.35">
      <c r="A31" s="12">
        <f t="shared" si="0"/>
        <v>290</v>
      </c>
    </row>
    <row r="32" spans="1:12" x14ac:dyDescent="0.35">
      <c r="A32" s="88">
        <f t="shared" si="0"/>
        <v>300</v>
      </c>
    </row>
    <row r="33" spans="1:1" x14ac:dyDescent="0.35">
      <c r="A33" s="12">
        <f t="shared" si="0"/>
        <v>310</v>
      </c>
    </row>
    <row r="34" spans="1:1" x14ac:dyDescent="0.35">
      <c r="A34" s="12">
        <f t="shared" si="0"/>
        <v>320</v>
      </c>
    </row>
    <row r="35" spans="1:1" x14ac:dyDescent="0.35">
      <c r="A35" s="12">
        <f t="shared" si="0"/>
        <v>330</v>
      </c>
    </row>
    <row r="36" spans="1:1" x14ac:dyDescent="0.35">
      <c r="A36" s="12">
        <f t="shared" si="0"/>
        <v>340</v>
      </c>
    </row>
    <row r="37" spans="1:1" x14ac:dyDescent="0.35">
      <c r="A37" s="88">
        <f t="shared" si="0"/>
        <v>350</v>
      </c>
    </row>
    <row r="38" spans="1:1" x14ac:dyDescent="0.35">
      <c r="A38" s="12">
        <f t="shared" si="0"/>
        <v>360</v>
      </c>
    </row>
    <row r="39" spans="1:1" x14ac:dyDescent="0.35">
      <c r="A39" s="37">
        <f t="shared" si="0"/>
        <v>370</v>
      </c>
    </row>
    <row r="40" spans="1:1" x14ac:dyDescent="0.35">
      <c r="A40" s="37">
        <f t="shared" si="0"/>
        <v>380</v>
      </c>
    </row>
    <row r="41" spans="1:1" x14ac:dyDescent="0.35">
      <c r="A41" s="37">
        <f t="shared" si="0"/>
        <v>390</v>
      </c>
    </row>
    <row r="42" spans="1:1" x14ac:dyDescent="0.35">
      <c r="A42" s="37">
        <f t="shared" si="0"/>
        <v>400</v>
      </c>
    </row>
  </sheetData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Gain-Sub-Exp</vt:lpstr>
      <vt:lpstr>Filters</vt:lpstr>
      <vt:lpstr>Skyflux</vt:lpstr>
      <vt:lpstr>ASI294-specs-DR-SNR</vt:lpstr>
      <vt:lpstr>graphs</vt:lpstr>
      <vt:lpstr>FWC</vt:lpstr>
      <vt:lpstr>Gain</vt:lpstr>
      <vt:lpstr>DR</vt:lpstr>
      <vt:lpstr>Read Noise</vt:lpstr>
      <vt:lpstr>Offset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Bellavia, Steven</dc:creator>
  <cp:lastModifiedBy>Bellavia, Steven</cp:lastModifiedBy>
  <cp:lastPrinted>2019-09-14T12:38:13Z</cp:lastPrinted>
  <dcterms:created xsi:type="dcterms:W3CDTF">2018-08-21T15:42:24Z</dcterms:created>
  <dcterms:modified xsi:type="dcterms:W3CDTF">2021-05-04T16:44:25Z</dcterms:modified>
</cp:coreProperties>
</file>