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via\Documents\AP\ZWO_Gain-SubExposure\"/>
    </mc:Choice>
  </mc:AlternateContent>
  <xr:revisionPtr revIDLastSave="0" documentId="8_{240B8A72-01B7-4053-BDFF-6F9B5EED9692}" xr6:coauthVersionLast="46" xr6:coauthVersionMax="46" xr10:uidLastSave="{00000000-0000-0000-0000-000000000000}"/>
  <bookViews>
    <workbookView xWindow="360" yWindow="120" windowWidth="18710" windowHeight="9890" xr2:uid="{00000000-000D-0000-FFFF-FFFF00000000}"/>
  </bookViews>
  <sheets>
    <sheet name="Gain-Sub-Exp" sheetId="5" r:id="rId1"/>
    <sheet name="Filters" sheetId="13" r:id="rId2"/>
    <sheet name="Skyflux" sheetId="3" r:id="rId3"/>
    <sheet name="ASI533-specs-DR-SNR" sheetId="4" r:id="rId4"/>
    <sheet name="graphs" sheetId="8" r:id="rId5"/>
    <sheet name="FWC" sheetId="9" r:id="rId6"/>
    <sheet name="Gain" sheetId="10" r:id="rId7"/>
    <sheet name="DR" sheetId="11" r:id="rId8"/>
    <sheet name="Read Noise" sheetId="12" r:id="rId9"/>
    <sheet name="Offset" sheetId="7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5" i="5" l="1"/>
  <c r="D14" i="5"/>
  <c r="B10" i="13"/>
  <c r="K15" i="4" l="1"/>
  <c r="D10" i="5" l="1"/>
  <c r="B5" i="4" l="1"/>
  <c r="G5" i="4" s="1"/>
  <c r="C5" i="4" l="1"/>
  <c r="H5" i="4" l="1"/>
  <c r="K5" i="4" s="1"/>
  <c r="L24" i="7"/>
  <c r="L23" i="7"/>
  <c r="L22" i="7"/>
  <c r="L21" i="7"/>
  <c r="L20" i="7"/>
  <c r="L19" i="7"/>
  <c r="L18" i="7"/>
  <c r="L17" i="7"/>
  <c r="L12" i="7"/>
  <c r="L7" i="7"/>
  <c r="L2" i="7"/>
  <c r="K18" i="7"/>
  <c r="K19" i="7" s="1"/>
  <c r="K20" i="7" s="1"/>
  <c r="K21" i="7" s="1"/>
  <c r="K22" i="7" s="1"/>
  <c r="K23" i="7" s="1"/>
  <c r="K24" i="7" s="1"/>
  <c r="E5" i="4"/>
  <c r="D5" i="4"/>
  <c r="A3" i="12"/>
  <c r="A4" i="12" s="1"/>
  <c r="A5" i="12" s="1"/>
  <c r="A6" i="12" s="1"/>
  <c r="A7" i="12" s="1"/>
  <c r="A8" i="12" s="1"/>
  <c r="A9" i="12" s="1"/>
  <c r="A10" i="12" s="1"/>
  <c r="A11" i="12" s="1"/>
  <c r="A12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3" i="10"/>
  <c r="A4" i="10" s="1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D31" i="5" l="1"/>
  <c r="D24" i="5"/>
  <c r="D32" i="5" l="1"/>
  <c r="AE2" i="4" s="1"/>
  <c r="C46" i="5"/>
  <c r="C45" i="5"/>
  <c r="C44" i="5"/>
  <c r="C43" i="5"/>
  <c r="C42" i="5"/>
  <c r="C41" i="5"/>
  <c r="C40" i="5"/>
  <c r="C39" i="5"/>
  <c r="C38" i="5"/>
  <c r="C37" i="5"/>
  <c r="K3" i="7" l="1"/>
  <c r="K4" i="7" s="1"/>
  <c r="K5" i="7" s="1"/>
  <c r="K6" i="7" s="1"/>
  <c r="K7" i="7" s="1"/>
  <c r="K8" i="7" s="1"/>
  <c r="K9" i="7" s="1"/>
  <c r="K10" i="7" s="1"/>
  <c r="K11" i="7" s="1"/>
  <c r="K12" i="7" s="1"/>
  <c r="H32" i="5" l="1"/>
  <c r="H15" i="5" l="1"/>
  <c r="H14" i="5"/>
  <c r="H13" i="5"/>
  <c r="H25" i="5" l="1"/>
  <c r="J25" i="5" s="1"/>
  <c r="H24" i="5"/>
  <c r="J24" i="5" s="1"/>
  <c r="M10" i="5"/>
  <c r="M11" i="5" s="1"/>
  <c r="M12" i="5" s="1"/>
  <c r="M13" i="5" s="1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M26" i="5" s="1"/>
  <c r="M27" i="5" s="1"/>
  <c r="M28" i="5" s="1"/>
  <c r="M29" i="5" s="1"/>
  <c r="A6" i="4"/>
  <c r="A3" i="7"/>
  <c r="A4" i="7" s="1"/>
  <c r="A5" i="7" s="1"/>
  <c r="A6" i="7" s="1"/>
  <c r="A7" i="7" s="1"/>
  <c r="A8" i="7" s="1"/>
  <c r="A9" i="7" s="1"/>
  <c r="A10" i="7" s="1"/>
  <c r="A11" i="7" s="1"/>
  <c r="A12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3" i="9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B6" i="4" l="1"/>
  <c r="G6" i="4" s="1"/>
  <c r="C6" i="4"/>
  <c r="H6" i="4"/>
  <c r="K6" i="4" s="1"/>
  <c r="E6" i="4"/>
  <c r="D6" i="4"/>
  <c r="A7" i="4"/>
  <c r="M30" i="5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M50" i="5" s="1"/>
  <c r="M51" i="5" s="1"/>
  <c r="M52" i="5" s="1"/>
  <c r="M53" i="5" s="1"/>
  <c r="M54" i="5" s="1"/>
  <c r="B7" i="4" l="1"/>
  <c r="G7" i="4" s="1"/>
  <c r="C7" i="4"/>
  <c r="E7" i="4"/>
  <c r="H7" i="4"/>
  <c r="K7" i="4" s="1"/>
  <c r="D7" i="4"/>
  <c r="A8" i="4"/>
  <c r="C25" i="3"/>
  <c r="C22" i="3"/>
  <c r="B8" i="4" l="1"/>
  <c r="G8" i="4" s="1"/>
  <c r="C8" i="4"/>
  <c r="H8" i="4"/>
  <c r="K8" i="4" s="1"/>
  <c r="D8" i="4"/>
  <c r="E8" i="4"/>
  <c r="A9" i="4"/>
  <c r="C24" i="3"/>
  <c r="L5" i="4"/>
  <c r="B9" i="4" l="1"/>
  <c r="G9" i="4" s="1"/>
  <c r="C9" i="4"/>
  <c r="D9" i="4"/>
  <c r="E9" i="4"/>
  <c r="H9" i="4"/>
  <c r="K9" i="4" s="1"/>
  <c r="A10" i="4"/>
  <c r="L6" i="4"/>
  <c r="C23" i="3"/>
  <c r="B10" i="4" l="1"/>
  <c r="G10" i="4" s="1"/>
  <c r="C10" i="4"/>
  <c r="E10" i="4"/>
  <c r="H10" i="4"/>
  <c r="K10" i="4" s="1"/>
  <c r="D10" i="4"/>
  <c r="A11" i="4"/>
  <c r="L7" i="4"/>
  <c r="B11" i="4" l="1"/>
  <c r="G11" i="4" s="1"/>
  <c r="C11" i="4"/>
  <c r="H11" i="4"/>
  <c r="K11" i="4" s="1"/>
  <c r="D11" i="4"/>
  <c r="E11" i="4"/>
  <c r="A12" i="4"/>
  <c r="L8" i="4"/>
  <c r="B12" i="4" l="1"/>
  <c r="G12" i="4" s="1"/>
  <c r="C12" i="4"/>
  <c r="D12" i="4"/>
  <c r="H12" i="4"/>
  <c r="K12" i="4" s="1"/>
  <c r="E12" i="4"/>
  <c r="A13" i="4"/>
  <c r="L9" i="4"/>
  <c r="B13" i="4" l="1"/>
  <c r="G13" i="4" s="1"/>
  <c r="C13" i="4"/>
  <c r="E13" i="4"/>
  <c r="D13" i="4"/>
  <c r="H13" i="4"/>
  <c r="K13" i="4" s="1"/>
  <c r="A14" i="4"/>
  <c r="L10" i="4"/>
  <c r="B14" i="4" l="1"/>
  <c r="G14" i="4" s="1"/>
  <c r="C14" i="4"/>
  <c r="H14" i="4"/>
  <c r="K14" i="4" s="1"/>
  <c r="E14" i="4"/>
  <c r="D14" i="4"/>
  <c r="A15" i="4"/>
  <c r="L11" i="4"/>
  <c r="B15" i="4" l="1"/>
  <c r="C15" i="4"/>
  <c r="D15" i="4"/>
  <c r="E15" i="4"/>
  <c r="A16" i="4"/>
  <c r="L12" i="4"/>
  <c r="B16" i="4" l="1"/>
  <c r="C16" i="4"/>
  <c r="E16" i="4"/>
  <c r="H16" i="4"/>
  <c r="K16" i="4" s="1"/>
  <c r="D16" i="4"/>
  <c r="A17" i="4"/>
  <c r="L13" i="4"/>
  <c r="B17" i="4" l="1"/>
  <c r="C17" i="4"/>
  <c r="D17" i="4"/>
  <c r="E17" i="4"/>
  <c r="H17" i="4"/>
  <c r="K17" i="4" s="1"/>
  <c r="A18" i="4"/>
  <c r="L14" i="4"/>
  <c r="B18" i="4" l="1"/>
  <c r="C18" i="4"/>
  <c r="D18" i="4"/>
  <c r="E18" i="4"/>
  <c r="H18" i="4"/>
  <c r="K18" i="4" s="1"/>
  <c r="A19" i="4"/>
  <c r="L15" i="4"/>
  <c r="B19" i="4" l="1"/>
  <c r="C19" i="4"/>
  <c r="E19" i="4"/>
  <c r="H19" i="4"/>
  <c r="K19" i="4" s="1"/>
  <c r="D19" i="4"/>
  <c r="A20" i="4"/>
  <c r="L16" i="4"/>
  <c r="B20" i="4" l="1"/>
  <c r="C20" i="4"/>
  <c r="H20" i="4"/>
  <c r="K20" i="4" s="1"/>
  <c r="E20" i="4"/>
  <c r="D20" i="4"/>
  <c r="A21" i="4"/>
  <c r="L17" i="4"/>
  <c r="B21" i="4" l="1"/>
  <c r="C21" i="4"/>
  <c r="H21" i="4"/>
  <c r="K21" i="4" s="1"/>
  <c r="D21" i="4"/>
  <c r="E21" i="4"/>
  <c r="A22" i="4"/>
  <c r="L18" i="4"/>
  <c r="B22" i="4" l="1"/>
  <c r="C22" i="4"/>
  <c r="E22" i="4"/>
  <c r="H22" i="4"/>
  <c r="K22" i="4" s="1"/>
  <c r="D22" i="4"/>
  <c r="L21" i="4"/>
  <c r="A23" i="4"/>
  <c r="L19" i="4"/>
  <c r="B23" i="4" l="1"/>
  <c r="C23" i="4"/>
  <c r="D23" i="4"/>
  <c r="E23" i="4"/>
  <c r="H23" i="4"/>
  <c r="K23" i="4" s="1"/>
  <c r="L22" i="4"/>
  <c r="A24" i="4"/>
  <c r="L20" i="4"/>
  <c r="B24" i="4" l="1"/>
  <c r="C24" i="4"/>
  <c r="E24" i="4"/>
  <c r="H24" i="4"/>
  <c r="K24" i="4" s="1"/>
  <c r="D24" i="4"/>
  <c r="L23" i="4"/>
  <c r="A25" i="4"/>
  <c r="B25" i="4" l="1"/>
  <c r="C25" i="4"/>
  <c r="H25" i="4"/>
  <c r="K25" i="4" s="1"/>
  <c r="E25" i="4"/>
  <c r="D25" i="4"/>
  <c r="L24" i="4"/>
  <c r="A26" i="4"/>
  <c r="H20" i="5"/>
  <c r="H21" i="5"/>
  <c r="B26" i="4" l="1"/>
  <c r="C26" i="4"/>
  <c r="D26" i="4"/>
  <c r="H26" i="4"/>
  <c r="K26" i="4" s="1"/>
  <c r="E26" i="4"/>
  <c r="I25" i="5"/>
  <c r="K25" i="5" s="1"/>
  <c r="H27" i="5" s="1"/>
  <c r="I24" i="5"/>
  <c r="K24" i="5" s="1"/>
  <c r="D12" i="5" s="1"/>
  <c r="R2" i="4" s="1"/>
  <c r="L25" i="4"/>
  <c r="A27" i="4"/>
  <c r="B27" i="4" l="1"/>
  <c r="C27" i="4"/>
  <c r="D27" i="4"/>
  <c r="E27" i="4"/>
  <c r="H27" i="4"/>
  <c r="K27" i="4" s="1"/>
  <c r="L26" i="4"/>
  <c r="A28" i="4"/>
  <c r="H30" i="5"/>
  <c r="H29" i="5"/>
  <c r="H34" i="5" s="1"/>
  <c r="D6" i="5" s="1"/>
  <c r="D26" i="5" s="1"/>
  <c r="D27" i="5" s="1"/>
  <c r="D28" i="5" s="1"/>
  <c r="B28" i="4" l="1"/>
  <c r="C28" i="4"/>
  <c r="H28" i="4"/>
  <c r="K28" i="4" s="1"/>
  <c r="D28" i="4"/>
  <c r="E28" i="4"/>
  <c r="L27" i="4"/>
  <c r="B18" i="3"/>
  <c r="A29" i="4"/>
  <c r="B29" i="4" l="1"/>
  <c r="C29" i="4"/>
  <c r="D29" i="4"/>
  <c r="E29" i="4"/>
  <c r="H29" i="4"/>
  <c r="K29" i="4" s="1"/>
  <c r="L28" i="4"/>
  <c r="A30" i="4"/>
  <c r="B20" i="3"/>
  <c r="C27" i="3" s="1"/>
  <c r="B30" i="4" l="1"/>
  <c r="C30" i="4"/>
  <c r="D30" i="4"/>
  <c r="H30" i="4"/>
  <c r="K30" i="4" s="1"/>
  <c r="E30" i="4"/>
  <c r="L29" i="4"/>
  <c r="A31" i="4"/>
  <c r="T2" i="4"/>
  <c r="B31" i="4" l="1"/>
  <c r="C31" i="4"/>
  <c r="H31" i="4"/>
  <c r="K31" i="4" s="1"/>
  <c r="L31" i="4" s="1"/>
  <c r="D31" i="4"/>
  <c r="E31" i="4"/>
  <c r="N31" i="4" s="1"/>
  <c r="N30" i="4"/>
  <c r="T30" i="4" s="1"/>
  <c r="L30" i="4"/>
  <c r="A32" i="4"/>
  <c r="N22" i="4"/>
  <c r="T22" i="4" s="1"/>
  <c r="N10" i="4"/>
  <c r="N18" i="4"/>
  <c r="N7" i="4"/>
  <c r="N21" i="4"/>
  <c r="N16" i="4"/>
  <c r="N9" i="4"/>
  <c r="N23" i="4"/>
  <c r="N11" i="4"/>
  <c r="T11" i="4" s="1"/>
  <c r="N19" i="4"/>
  <c r="N25" i="4"/>
  <c r="T25" i="4" s="1"/>
  <c r="N20" i="4"/>
  <c r="N12" i="4"/>
  <c r="N6" i="4"/>
  <c r="N13" i="4"/>
  <c r="N5" i="4"/>
  <c r="N14" i="4"/>
  <c r="N15" i="4"/>
  <c r="N8" i="4"/>
  <c r="N24" i="4"/>
  <c r="T24" i="4" s="1"/>
  <c r="N17" i="4"/>
  <c r="N26" i="4"/>
  <c r="N27" i="4"/>
  <c r="T27" i="4" s="1"/>
  <c r="N28" i="4"/>
  <c r="T28" i="4" s="1"/>
  <c r="N29" i="4"/>
  <c r="B32" i="4" l="1"/>
  <c r="C32" i="4"/>
  <c r="E32" i="4"/>
  <c r="D32" i="4"/>
  <c r="H32" i="4"/>
  <c r="K32" i="4" s="1"/>
  <c r="R30" i="4"/>
  <c r="W30" i="4" s="1"/>
  <c r="O30" i="4"/>
  <c r="U22" i="4"/>
  <c r="U30" i="4"/>
  <c r="T13" i="4"/>
  <c r="O13" i="4"/>
  <c r="N17" i="5" s="1"/>
  <c r="R13" i="4"/>
  <c r="R26" i="4"/>
  <c r="O26" i="4"/>
  <c r="N30" i="5" s="1"/>
  <c r="T6" i="4"/>
  <c r="R6" i="4"/>
  <c r="O6" i="4"/>
  <c r="N10" i="5" s="1"/>
  <c r="T31" i="4"/>
  <c r="R31" i="4"/>
  <c r="O31" i="4"/>
  <c r="U25" i="4"/>
  <c r="T17" i="4"/>
  <c r="R17" i="4"/>
  <c r="O17" i="4"/>
  <c r="N21" i="5" s="1"/>
  <c r="T21" i="4"/>
  <c r="R21" i="4"/>
  <c r="O21" i="4"/>
  <c r="N25" i="5" s="1"/>
  <c r="U28" i="4"/>
  <c r="O24" i="4"/>
  <c r="N28" i="5" s="1"/>
  <c r="R24" i="4"/>
  <c r="W24" i="4" s="1"/>
  <c r="T20" i="4"/>
  <c r="R20" i="4"/>
  <c r="O20" i="4"/>
  <c r="N24" i="5" s="1"/>
  <c r="O7" i="4"/>
  <c r="N11" i="5" s="1"/>
  <c r="R7" i="4"/>
  <c r="O29" i="4"/>
  <c r="R29" i="4"/>
  <c r="T8" i="4"/>
  <c r="O8" i="4"/>
  <c r="N12" i="5" s="1"/>
  <c r="R8" i="4"/>
  <c r="O25" i="4"/>
  <c r="N29" i="5" s="1"/>
  <c r="R25" i="4"/>
  <c r="W25" i="4" s="1"/>
  <c r="T18" i="4"/>
  <c r="R18" i="4"/>
  <c r="O18" i="4"/>
  <c r="N22" i="5" s="1"/>
  <c r="A33" i="4"/>
  <c r="N32" i="4"/>
  <c r="O28" i="4"/>
  <c r="R28" i="4"/>
  <c r="W28" i="4" s="1"/>
  <c r="U11" i="4"/>
  <c r="T15" i="4"/>
  <c r="O15" i="4"/>
  <c r="N19" i="5" s="1"/>
  <c r="R15" i="4"/>
  <c r="T19" i="4"/>
  <c r="R19" i="4"/>
  <c r="O19" i="4"/>
  <c r="N23" i="5" s="1"/>
  <c r="T10" i="4"/>
  <c r="R10" i="4"/>
  <c r="O10" i="4"/>
  <c r="N14" i="5" s="1"/>
  <c r="R27" i="4"/>
  <c r="W27" i="4" s="1"/>
  <c r="O27" i="4"/>
  <c r="N31" i="5" s="1"/>
  <c r="T26" i="4"/>
  <c r="T7" i="4"/>
  <c r="T14" i="4"/>
  <c r="O14" i="4"/>
  <c r="N18" i="5" s="1"/>
  <c r="R14" i="4"/>
  <c r="R11" i="4"/>
  <c r="W11" i="4" s="1"/>
  <c r="O11" i="4"/>
  <c r="N15" i="5" s="1"/>
  <c r="O22" i="4"/>
  <c r="N26" i="5" s="1"/>
  <c r="R22" i="4"/>
  <c r="W22" i="4" s="1"/>
  <c r="T9" i="4"/>
  <c r="R9" i="4"/>
  <c r="O9" i="4"/>
  <c r="N13" i="5" s="1"/>
  <c r="U24" i="4"/>
  <c r="T16" i="4"/>
  <c r="R16" i="4"/>
  <c r="O16" i="4"/>
  <c r="N20" i="5" s="1"/>
  <c r="T12" i="4"/>
  <c r="R12" i="4"/>
  <c r="O12" i="4"/>
  <c r="N16" i="5" s="1"/>
  <c r="U27" i="4"/>
  <c r="T29" i="4"/>
  <c r="T5" i="4"/>
  <c r="O5" i="4"/>
  <c r="N9" i="5" s="1"/>
  <c r="R5" i="4"/>
  <c r="T23" i="4"/>
  <c r="O23" i="4"/>
  <c r="N27" i="5" s="1"/>
  <c r="R23" i="4"/>
  <c r="X30" i="4" l="1"/>
  <c r="Y30" i="4" s="1"/>
  <c r="B33" i="4"/>
  <c r="C33" i="4"/>
  <c r="D33" i="4"/>
  <c r="E33" i="4"/>
  <c r="N33" i="4" s="1"/>
  <c r="H33" i="4"/>
  <c r="O24" i="5"/>
  <c r="Q20" i="4" s="1"/>
  <c r="AE20" i="4" s="1"/>
  <c r="Q24" i="5" s="1"/>
  <c r="O27" i="5"/>
  <c r="Q23" i="4" s="1"/>
  <c r="AE23" i="4" s="1"/>
  <c r="Q27" i="5" s="1"/>
  <c r="O10" i="5"/>
  <c r="Q6" i="4" s="1"/>
  <c r="AE6" i="4" s="1"/>
  <c r="Q10" i="5" s="1"/>
  <c r="O11" i="5"/>
  <c r="Q7" i="4" s="1"/>
  <c r="AE7" i="4" s="1"/>
  <c r="Q11" i="5" s="1"/>
  <c r="O23" i="5"/>
  <c r="Q19" i="4" s="1"/>
  <c r="AE19" i="4" s="1"/>
  <c r="Q23" i="5" s="1"/>
  <c r="O12" i="5"/>
  <c r="Q8" i="4" s="1"/>
  <c r="AE8" i="4" s="1"/>
  <c r="Q12" i="5" s="1"/>
  <c r="O21" i="5"/>
  <c r="Q17" i="4" s="1"/>
  <c r="AE17" i="4" s="1"/>
  <c r="Q21" i="5" s="1"/>
  <c r="O18" i="5"/>
  <c r="Q14" i="4" s="1"/>
  <c r="AE14" i="4" s="1"/>
  <c r="Q18" i="5" s="1"/>
  <c r="O16" i="5"/>
  <c r="Q12" i="4" s="1"/>
  <c r="AE12" i="4" s="1"/>
  <c r="Q16" i="5" s="1"/>
  <c r="O29" i="5"/>
  <c r="Q25" i="4" s="1"/>
  <c r="AE25" i="4" s="1"/>
  <c r="Q29" i="5" s="1"/>
  <c r="O20" i="5"/>
  <c r="Q16" i="4" s="1"/>
  <c r="AE16" i="4" s="1"/>
  <c r="Q20" i="5" s="1"/>
  <c r="O26" i="5"/>
  <c r="Q22" i="4" s="1"/>
  <c r="AE22" i="4" s="1"/>
  <c r="Q26" i="5" s="1"/>
  <c r="O13" i="5"/>
  <c r="Q9" i="4" s="1"/>
  <c r="AE9" i="4" s="1"/>
  <c r="Q13" i="5" s="1"/>
  <c r="O25" i="5"/>
  <c r="Q21" i="4" s="1"/>
  <c r="AE21" i="4" s="1"/>
  <c r="Q25" i="5" s="1"/>
  <c r="O17" i="5"/>
  <c r="Q13" i="4" s="1"/>
  <c r="AE13" i="4" s="1"/>
  <c r="Q17" i="5" s="1"/>
  <c r="O9" i="5"/>
  <c r="Q5" i="4" s="1"/>
  <c r="O15" i="5"/>
  <c r="Q11" i="4" s="1"/>
  <c r="AE11" i="4" s="1"/>
  <c r="Q15" i="5" s="1"/>
  <c r="O19" i="5"/>
  <c r="Q15" i="4" s="1"/>
  <c r="AE15" i="4" s="1"/>
  <c r="Q19" i="5" s="1"/>
  <c r="O22" i="5"/>
  <c r="Q18" i="4" s="1"/>
  <c r="AE18" i="4" s="1"/>
  <c r="Q22" i="5" s="1"/>
  <c r="O28" i="5"/>
  <c r="Q24" i="4" s="1"/>
  <c r="AE24" i="4" s="1"/>
  <c r="Q28" i="5" s="1"/>
  <c r="O14" i="5"/>
  <c r="Q10" i="4" s="1"/>
  <c r="AE10" i="4" s="1"/>
  <c r="Q14" i="5" s="1"/>
  <c r="X24" i="4"/>
  <c r="W8" i="4"/>
  <c r="W23" i="4"/>
  <c r="W5" i="4"/>
  <c r="W16" i="4"/>
  <c r="W12" i="4"/>
  <c r="W9" i="4"/>
  <c r="W13" i="4"/>
  <c r="W31" i="4"/>
  <c r="W26" i="4"/>
  <c r="W15" i="4"/>
  <c r="W20" i="4"/>
  <c r="W21" i="4"/>
  <c r="W6" i="4"/>
  <c r="W17" i="4"/>
  <c r="W7" i="4"/>
  <c r="W14" i="4"/>
  <c r="X25" i="4"/>
  <c r="W10" i="4"/>
  <c r="L32" i="4"/>
  <c r="U20" i="4"/>
  <c r="X20" i="4"/>
  <c r="U21" i="4"/>
  <c r="X21" i="4"/>
  <c r="U31" i="4"/>
  <c r="X31" i="4"/>
  <c r="U13" i="4"/>
  <c r="X13" i="4"/>
  <c r="U5" i="4"/>
  <c r="X5" i="4"/>
  <c r="O32" i="4"/>
  <c r="R32" i="4"/>
  <c r="T32" i="4"/>
  <c r="U29" i="4"/>
  <c r="X29" i="4"/>
  <c r="U16" i="4"/>
  <c r="X16" i="4"/>
  <c r="X27" i="4"/>
  <c r="Y27" i="4" s="1"/>
  <c r="U15" i="4"/>
  <c r="X15" i="4"/>
  <c r="X11" i="4"/>
  <c r="U10" i="4"/>
  <c r="X10" i="4"/>
  <c r="A34" i="4"/>
  <c r="U8" i="4"/>
  <c r="X8" i="4"/>
  <c r="U23" i="4"/>
  <c r="X23" i="4"/>
  <c r="U14" i="4"/>
  <c r="X14" i="4"/>
  <c r="W29" i="4"/>
  <c r="U12" i="4"/>
  <c r="X12" i="4"/>
  <c r="U9" i="4"/>
  <c r="X9" i="4"/>
  <c r="U7" i="4"/>
  <c r="X7" i="4"/>
  <c r="W19" i="4"/>
  <c r="W18" i="4"/>
  <c r="X28" i="4"/>
  <c r="Y28" i="4" s="1"/>
  <c r="U17" i="4"/>
  <c r="X17" i="4"/>
  <c r="U6" i="4"/>
  <c r="X6" i="4"/>
  <c r="X26" i="4"/>
  <c r="U26" i="4"/>
  <c r="U19" i="4"/>
  <c r="X19" i="4"/>
  <c r="U18" i="4"/>
  <c r="X18" i="4"/>
  <c r="X22" i="4"/>
  <c r="K33" i="4" l="1"/>
  <c r="L33" i="4" s="1"/>
  <c r="B34" i="4"/>
  <c r="C34" i="4"/>
  <c r="D34" i="4"/>
  <c r="E34" i="4"/>
  <c r="N34" i="4" s="1"/>
  <c r="H34" i="4"/>
  <c r="K34" i="4" s="1"/>
  <c r="AE5" i="4"/>
  <c r="Q9" i="5" s="1"/>
  <c r="AA9" i="4"/>
  <c r="AA15" i="4"/>
  <c r="AA25" i="4"/>
  <c r="AA7" i="4"/>
  <c r="AA22" i="4"/>
  <c r="AA5" i="4"/>
  <c r="AA19" i="4"/>
  <c r="AA14" i="4"/>
  <c r="AA17" i="4"/>
  <c r="AA16" i="4"/>
  <c r="AA12" i="4"/>
  <c r="AA13" i="4"/>
  <c r="AA10" i="4"/>
  <c r="AA11" i="4"/>
  <c r="AA24" i="4"/>
  <c r="AA20" i="4"/>
  <c r="AA18" i="4"/>
  <c r="AA6" i="4"/>
  <c r="AC24" i="4"/>
  <c r="P28" i="5" s="1"/>
  <c r="Y24" i="4"/>
  <c r="AC23" i="4"/>
  <c r="P27" i="5" s="1"/>
  <c r="AC5" i="4"/>
  <c r="P9" i="5" s="1"/>
  <c r="Y31" i="4"/>
  <c r="AC16" i="4"/>
  <c r="P20" i="5" s="1"/>
  <c r="Y14" i="4"/>
  <c r="Y25" i="4"/>
  <c r="Y7" i="4"/>
  <c r="Y16" i="4"/>
  <c r="Y17" i="4"/>
  <c r="AC6" i="4"/>
  <c r="P10" i="5" s="1"/>
  <c r="Y29" i="4"/>
  <c r="AC18" i="4"/>
  <c r="P22" i="5" s="1"/>
  <c r="AC17" i="4"/>
  <c r="P21" i="5" s="1"/>
  <c r="Y22" i="4"/>
  <c r="W32" i="4"/>
  <c r="AC25" i="4"/>
  <c r="P29" i="5" s="1"/>
  <c r="Y20" i="4"/>
  <c r="Y6" i="4"/>
  <c r="Y13" i="4"/>
  <c r="AC13" i="4"/>
  <c r="P17" i="5" s="1"/>
  <c r="Y10" i="4"/>
  <c r="Y5" i="4"/>
  <c r="Y12" i="4"/>
  <c r="Y11" i="4"/>
  <c r="Y9" i="4"/>
  <c r="AC12" i="4"/>
  <c r="P16" i="5" s="1"/>
  <c r="AC11" i="4"/>
  <c r="P15" i="5" s="1"/>
  <c r="Y26" i="4"/>
  <c r="AC20" i="4"/>
  <c r="P24" i="5" s="1"/>
  <c r="X32" i="4"/>
  <c r="U32" i="4"/>
  <c r="Y18" i="4"/>
  <c r="A35" i="4"/>
  <c r="Y15" i="4"/>
  <c r="AC9" i="4"/>
  <c r="P13" i="5" s="1"/>
  <c r="Y23" i="4"/>
  <c r="AA23" i="4"/>
  <c r="Y21" i="4"/>
  <c r="AA21" i="4"/>
  <c r="Y19" i="4"/>
  <c r="AC19" i="4"/>
  <c r="P23" i="5" s="1"/>
  <c r="Y8" i="4"/>
  <c r="AA8" i="4"/>
  <c r="AC21" i="4"/>
  <c r="P25" i="5" s="1"/>
  <c r="AC7" i="4"/>
  <c r="P11" i="5" s="1"/>
  <c r="T33" i="4"/>
  <c r="R33" i="4"/>
  <c r="O33" i="4"/>
  <c r="AC14" i="4"/>
  <c r="P18" i="5" s="1"/>
  <c r="AC15" i="4"/>
  <c r="P19" i="5" s="1"/>
  <c r="AC8" i="4"/>
  <c r="P12" i="5" s="1"/>
  <c r="AC10" i="4"/>
  <c r="P14" i="5" s="1"/>
  <c r="AC22" i="4"/>
  <c r="P26" i="5" s="1"/>
  <c r="B35" i="4" l="1"/>
  <c r="C35" i="4"/>
  <c r="H35" i="4"/>
  <c r="K35" i="4" s="1"/>
  <c r="D35" i="4"/>
  <c r="E35" i="4"/>
  <c r="N35" i="4" s="1"/>
  <c r="W33" i="4"/>
  <c r="U33" i="4"/>
  <c r="X33" i="4"/>
  <c r="A36" i="4"/>
  <c r="O31" i="5"/>
  <c r="Q27" i="4" s="1"/>
  <c r="O30" i="5"/>
  <c r="Q26" i="4" s="1"/>
  <c r="Y32" i="4"/>
  <c r="L34" i="4"/>
  <c r="O34" i="4"/>
  <c r="R34" i="4"/>
  <c r="T34" i="4"/>
  <c r="B36" i="4" l="1"/>
  <c r="C36" i="4"/>
  <c r="H36" i="4"/>
  <c r="K36" i="4" s="1"/>
  <c r="E36" i="4"/>
  <c r="N36" i="4" s="1"/>
  <c r="D36" i="4"/>
  <c r="L35" i="4"/>
  <c r="W34" i="4"/>
  <c r="T35" i="4"/>
  <c r="R35" i="4"/>
  <c r="O35" i="4"/>
  <c r="AE27" i="4"/>
  <c r="Q31" i="5" s="1"/>
  <c r="AC27" i="4"/>
  <c r="P31" i="5" s="1"/>
  <c r="AA27" i="4"/>
  <c r="X34" i="4"/>
  <c r="U34" i="4"/>
  <c r="A37" i="4"/>
  <c r="Y33" i="4"/>
  <c r="AC26" i="4"/>
  <c r="P30" i="5" s="1"/>
  <c r="AE26" i="4"/>
  <c r="Q30" i="5" s="1"/>
  <c r="AA26" i="4"/>
  <c r="B37" i="4" l="1"/>
  <c r="C37" i="4"/>
  <c r="H37" i="4"/>
  <c r="K37" i="4" s="1"/>
  <c r="E37" i="4"/>
  <c r="N37" i="4" s="1"/>
  <c r="D37" i="4"/>
  <c r="W35" i="4"/>
  <c r="L36" i="4"/>
  <c r="Y34" i="4"/>
  <c r="R36" i="4"/>
  <c r="O36" i="4"/>
  <c r="T36" i="4"/>
  <c r="A38" i="4"/>
  <c r="E37" i="5"/>
  <c r="U35" i="4"/>
  <c r="X35" i="4"/>
  <c r="B38" i="4" l="1"/>
  <c r="C38" i="4"/>
  <c r="E38" i="4"/>
  <c r="H38" i="4"/>
  <c r="K38" i="4" s="1"/>
  <c r="D38" i="4"/>
  <c r="U36" i="4"/>
  <c r="X36" i="4"/>
  <c r="O37" i="4"/>
  <c r="R37" i="4"/>
  <c r="T37" i="4"/>
  <c r="W36" i="4"/>
  <c r="L37" i="4"/>
  <c r="E42" i="5"/>
  <c r="E40" i="5"/>
  <c r="E46" i="5"/>
  <c r="E39" i="5"/>
  <c r="E41" i="5"/>
  <c r="E45" i="5"/>
  <c r="E38" i="5"/>
  <c r="E43" i="5"/>
  <c r="E44" i="5"/>
  <c r="D37" i="5"/>
  <c r="D39" i="5"/>
  <c r="D45" i="5"/>
  <c r="D46" i="5"/>
  <c r="D43" i="5"/>
  <c r="D40" i="5"/>
  <c r="D44" i="5"/>
  <c r="D41" i="5"/>
  <c r="D38" i="5"/>
  <c r="D42" i="5"/>
  <c r="Y35" i="4"/>
  <c r="A39" i="4"/>
  <c r="N38" i="4"/>
  <c r="B39" i="4" l="1"/>
  <c r="C39" i="4"/>
  <c r="D39" i="4"/>
  <c r="E39" i="4"/>
  <c r="N39" i="4" s="1"/>
  <c r="H39" i="4"/>
  <c r="K39" i="4" s="1"/>
  <c r="N34" i="5"/>
  <c r="O34" i="5" s="1"/>
  <c r="Q30" i="4" s="1"/>
  <c r="N32" i="5"/>
  <c r="O32" i="5" s="1"/>
  <c r="Q28" i="4" s="1"/>
  <c r="N33" i="5"/>
  <c r="O33" i="5" s="1"/>
  <c r="Q29" i="4" s="1"/>
  <c r="N35" i="5"/>
  <c r="O35" i="5" s="1"/>
  <c r="Q31" i="4" s="1"/>
  <c r="N36" i="5"/>
  <c r="O36" i="5" s="1"/>
  <c r="Q32" i="4" s="1"/>
  <c r="N37" i="5"/>
  <c r="O37" i="5" s="1"/>
  <c r="Q33" i="4" s="1"/>
  <c r="N38" i="5"/>
  <c r="O38" i="5" s="1"/>
  <c r="Q34" i="4" s="1"/>
  <c r="N39" i="5"/>
  <c r="O39" i="5" s="1"/>
  <c r="Q35" i="4" s="1"/>
  <c r="N41" i="5"/>
  <c r="N40" i="5"/>
  <c r="Y36" i="4"/>
  <c r="W37" i="4"/>
  <c r="X37" i="4"/>
  <c r="U37" i="4"/>
  <c r="T38" i="4"/>
  <c r="O38" i="4"/>
  <c r="N42" i="5" s="1"/>
  <c r="R38" i="4"/>
  <c r="A40" i="4"/>
  <c r="L39" i="4"/>
  <c r="L38" i="4"/>
  <c r="AE29" i="4" l="1"/>
  <c r="Q33" i="5" s="1"/>
  <c r="AA29" i="4"/>
  <c r="AC29" i="4"/>
  <c r="P33" i="5" s="1"/>
  <c r="AA28" i="4"/>
  <c r="AC28" i="4"/>
  <c r="P32" i="5" s="1"/>
  <c r="AE28" i="4"/>
  <c r="Q32" i="5" s="1"/>
  <c r="AE34" i="4"/>
  <c r="Q38" i="5" s="1"/>
  <c r="AC34" i="4"/>
  <c r="P38" i="5" s="1"/>
  <c r="AA34" i="4"/>
  <c r="AE33" i="4"/>
  <c r="Q37" i="5" s="1"/>
  <c r="AA33" i="4"/>
  <c r="AC33" i="4"/>
  <c r="P37" i="5" s="1"/>
  <c r="AE30" i="4"/>
  <c r="Q34" i="5" s="1"/>
  <c r="AA30" i="4"/>
  <c r="AC30" i="4"/>
  <c r="P34" i="5" s="1"/>
  <c r="AC32" i="4"/>
  <c r="P36" i="5" s="1"/>
  <c r="AE32" i="4"/>
  <c r="Q36" i="5" s="1"/>
  <c r="AA32" i="4"/>
  <c r="B40" i="4"/>
  <c r="C40" i="4"/>
  <c r="E40" i="4"/>
  <c r="N40" i="4" s="1"/>
  <c r="H40" i="4"/>
  <c r="K40" i="4" s="1"/>
  <c r="D40" i="4"/>
  <c r="AE35" i="4"/>
  <c r="Q39" i="5" s="1"/>
  <c r="AC35" i="4"/>
  <c r="P39" i="5" s="1"/>
  <c r="AA35" i="4"/>
  <c r="AA31" i="4"/>
  <c r="AC31" i="4"/>
  <c r="P35" i="5" s="1"/>
  <c r="AE31" i="4"/>
  <c r="Q35" i="5" s="1"/>
  <c r="Y37" i="4"/>
  <c r="W38" i="4"/>
  <c r="A41" i="4"/>
  <c r="O41" i="5"/>
  <c r="O40" i="5"/>
  <c r="Q36" i="4" s="1"/>
  <c r="O42" i="5"/>
  <c r="Q38" i="4" s="1"/>
  <c r="O39" i="4"/>
  <c r="N43" i="5" s="1"/>
  <c r="R39" i="4"/>
  <c r="T39" i="4"/>
  <c r="U38" i="4"/>
  <c r="X38" i="4"/>
  <c r="B41" i="4" l="1"/>
  <c r="C41" i="4"/>
  <c r="H41" i="4"/>
  <c r="K41" i="4" s="1"/>
  <c r="E41" i="4"/>
  <c r="D41" i="4"/>
  <c r="O43" i="5"/>
  <c r="Q39" i="4" s="1"/>
  <c r="AE39" i="4" s="1"/>
  <c r="Q43" i="5" s="1"/>
  <c r="Q37" i="4"/>
  <c r="AA37" i="4" s="1"/>
  <c r="Y38" i="4"/>
  <c r="W39" i="4"/>
  <c r="AA38" i="4"/>
  <c r="AE36" i="4"/>
  <c r="Q40" i="5" s="1"/>
  <c r="AC36" i="4"/>
  <c r="P40" i="5" s="1"/>
  <c r="AA36" i="4"/>
  <c r="AE38" i="4"/>
  <c r="Q42" i="5" s="1"/>
  <c r="AC38" i="4"/>
  <c r="P42" i="5" s="1"/>
  <c r="L40" i="4"/>
  <c r="O40" i="4"/>
  <c r="R40" i="4"/>
  <c r="T40" i="4"/>
  <c r="U39" i="4"/>
  <c r="X39" i="4"/>
  <c r="A42" i="4"/>
  <c r="N41" i="4"/>
  <c r="B42" i="4" l="1"/>
  <c r="C42" i="4"/>
  <c r="D42" i="4"/>
  <c r="H42" i="4"/>
  <c r="K42" i="4" s="1"/>
  <c r="E42" i="4"/>
  <c r="N42" i="4" s="1"/>
  <c r="AE37" i="4"/>
  <c r="Q41" i="5" s="1"/>
  <c r="AC37" i="4"/>
  <c r="P41" i="5" s="1"/>
  <c r="AA39" i="4"/>
  <c r="W40" i="4"/>
  <c r="T41" i="4"/>
  <c r="R41" i="4"/>
  <c r="O41" i="4"/>
  <c r="U40" i="4"/>
  <c r="X40" i="4"/>
  <c r="L41" i="4"/>
  <c r="Y39" i="4"/>
  <c r="A43" i="4"/>
  <c r="AC39" i="4"/>
  <c r="P43" i="5" s="1"/>
  <c r="B43" i="4" l="1"/>
  <c r="C43" i="4"/>
  <c r="D43" i="4"/>
  <c r="E43" i="4"/>
  <c r="N43" i="4" s="1"/>
  <c r="H43" i="4"/>
  <c r="K43" i="4" s="1"/>
  <c r="L42" i="4"/>
  <c r="Y40" i="4"/>
  <c r="W41" i="4"/>
  <c r="A44" i="4"/>
  <c r="T42" i="4"/>
  <c r="R42" i="4"/>
  <c r="O42" i="4"/>
  <c r="U41" i="4"/>
  <c r="X41" i="4"/>
  <c r="B44" i="4" l="1"/>
  <c r="C44" i="4"/>
  <c r="H44" i="4"/>
  <c r="K44" i="4" s="1"/>
  <c r="D44" i="4"/>
  <c r="E44" i="4"/>
  <c r="N46" i="5"/>
  <c r="O46" i="5" s="1"/>
  <c r="Q42" i="4" s="1"/>
  <c r="AE42" i="4" s="1"/>
  <c r="Q46" i="5" s="1"/>
  <c r="L43" i="4"/>
  <c r="N44" i="4"/>
  <c r="Y41" i="4"/>
  <c r="W42" i="4"/>
  <c r="T43" i="4"/>
  <c r="O43" i="4"/>
  <c r="R43" i="4"/>
  <c r="A45" i="4"/>
  <c r="U42" i="4"/>
  <c r="X42" i="4"/>
  <c r="B45" i="4" l="1"/>
  <c r="C45" i="4"/>
  <c r="D45" i="4"/>
  <c r="H45" i="4"/>
  <c r="K45" i="4" s="1"/>
  <c r="E45" i="4"/>
  <c r="N45" i="4" s="1"/>
  <c r="A46" i="4"/>
  <c r="N44" i="5"/>
  <c r="O44" i="5" s="1"/>
  <c r="Q40" i="4" s="1"/>
  <c r="N45" i="5"/>
  <c r="O45" i="5" s="1"/>
  <c r="Q41" i="4" s="1"/>
  <c r="N47" i="5"/>
  <c r="O47" i="5" s="1"/>
  <c r="Q43" i="4" s="1"/>
  <c r="AE43" i="4" s="1"/>
  <c r="Q47" i="5" s="1"/>
  <c r="AA42" i="4"/>
  <c r="W43" i="4"/>
  <c r="O44" i="4"/>
  <c r="R44" i="4"/>
  <c r="T44" i="4"/>
  <c r="U43" i="4"/>
  <c r="X43" i="4"/>
  <c r="L44" i="4"/>
  <c r="Y42" i="4"/>
  <c r="AC42" i="4"/>
  <c r="P46" i="5" s="1"/>
  <c r="AE40" i="4" l="1"/>
  <c r="Q44" i="5" s="1"/>
  <c r="AC40" i="4"/>
  <c r="P44" i="5" s="1"/>
  <c r="AA40" i="4"/>
  <c r="B46" i="4"/>
  <c r="C46" i="4"/>
  <c r="D46" i="4"/>
  <c r="E46" i="4"/>
  <c r="N46" i="4" s="1"/>
  <c r="A47" i="4"/>
  <c r="H46" i="4"/>
  <c r="K46" i="4" s="1"/>
  <c r="AC41" i="4"/>
  <c r="P45" i="5" s="1"/>
  <c r="AA41" i="4"/>
  <c r="AE41" i="4"/>
  <c r="Q45" i="5" s="1"/>
  <c r="N48" i="5"/>
  <c r="O48" i="5" s="1"/>
  <c r="Q44" i="4" s="1"/>
  <c r="AE44" i="4" s="1"/>
  <c r="Q48" i="5" s="1"/>
  <c r="W44" i="4"/>
  <c r="Y43" i="4"/>
  <c r="AA43" i="4"/>
  <c r="U44" i="4"/>
  <c r="X44" i="4"/>
  <c r="R45" i="4"/>
  <c r="O45" i="4"/>
  <c r="N49" i="5" s="1"/>
  <c r="T45" i="4"/>
  <c r="L45" i="4"/>
  <c r="AC43" i="4"/>
  <c r="P47" i="5" s="1"/>
  <c r="A48" i="4" l="1"/>
  <c r="B47" i="4"/>
  <c r="C47" i="4"/>
  <c r="H47" i="4"/>
  <c r="D47" i="4"/>
  <c r="E47" i="4"/>
  <c r="N47" i="4" s="1"/>
  <c r="T46" i="4"/>
  <c r="O46" i="4"/>
  <c r="N50" i="5" s="1"/>
  <c r="O50" i="5" s="1"/>
  <c r="Q46" i="4" s="1"/>
  <c r="R46" i="4"/>
  <c r="L46" i="4"/>
  <c r="AA44" i="4"/>
  <c r="O49" i="5"/>
  <c r="Q45" i="4" s="1"/>
  <c r="AE45" i="4" s="1"/>
  <c r="Q49" i="5" s="1"/>
  <c r="AC44" i="4"/>
  <c r="P48" i="5" s="1"/>
  <c r="W45" i="4"/>
  <c r="Y44" i="4"/>
  <c r="U45" i="4"/>
  <c r="X45" i="4"/>
  <c r="K47" i="4" l="1"/>
  <c r="L47" i="4" s="1"/>
  <c r="R47" i="4"/>
  <c r="O47" i="4"/>
  <c r="N51" i="5" s="1"/>
  <c r="O51" i="5" s="1"/>
  <c r="Q47" i="4" s="1"/>
  <c r="T47" i="4"/>
  <c r="U46" i="4"/>
  <c r="X46" i="4"/>
  <c r="AA46" i="4" s="1"/>
  <c r="W46" i="4"/>
  <c r="A49" i="4"/>
  <c r="B48" i="4"/>
  <c r="C48" i="4"/>
  <c r="E48" i="4"/>
  <c r="N48" i="4" s="1"/>
  <c r="H48" i="4"/>
  <c r="D48" i="4"/>
  <c r="AA45" i="4"/>
  <c r="AE46" i="4"/>
  <c r="Q50" i="5" s="1"/>
  <c r="AC45" i="4"/>
  <c r="P49" i="5" s="1"/>
  <c r="Y45" i="4"/>
  <c r="K48" i="4" l="1"/>
  <c r="L48" i="4" s="1"/>
  <c r="Y46" i="4"/>
  <c r="W47" i="4"/>
  <c r="AE47" i="4"/>
  <c r="Q51" i="5" s="1"/>
  <c r="AC46" i="4"/>
  <c r="P50" i="5" s="1"/>
  <c r="R48" i="4"/>
  <c r="O48" i="4"/>
  <c r="N52" i="5" s="1"/>
  <c r="O52" i="5" s="1"/>
  <c r="Q48" i="4" s="1"/>
  <c r="T48" i="4"/>
  <c r="X47" i="4"/>
  <c r="U47" i="4"/>
  <c r="B49" i="4"/>
  <c r="C49" i="4"/>
  <c r="E49" i="4"/>
  <c r="N49" i="4" s="1"/>
  <c r="A50" i="4"/>
  <c r="D49" i="4"/>
  <c r="H49" i="4"/>
  <c r="K49" i="4" s="1"/>
  <c r="W48" i="4" l="1"/>
  <c r="L49" i="4"/>
  <c r="Y47" i="4"/>
  <c r="AA47" i="4"/>
  <c r="AC47" i="4"/>
  <c r="P51" i="5" s="1"/>
  <c r="U48" i="4"/>
  <c r="X48" i="4"/>
  <c r="AA48" i="4" s="1"/>
  <c r="B50" i="4"/>
  <c r="C50" i="4"/>
  <c r="D50" i="4"/>
  <c r="E50" i="4"/>
  <c r="N50" i="4" s="1"/>
  <c r="H50" i="4"/>
  <c r="K50" i="4" s="1"/>
  <c r="AE48" i="4"/>
  <c r="Q52" i="5" s="1"/>
  <c r="O49" i="4"/>
  <c r="N53" i="5" s="1"/>
  <c r="O53" i="5" s="1"/>
  <c r="Q49" i="4" s="1"/>
  <c r="R49" i="4"/>
  <c r="T49" i="4"/>
  <c r="AC48" i="4" l="1"/>
  <c r="P52" i="5" s="1"/>
  <c r="W49" i="4"/>
  <c r="AE49" i="4"/>
  <c r="Q53" i="5" s="1"/>
  <c r="Y48" i="4"/>
  <c r="L50" i="4"/>
  <c r="X49" i="4"/>
  <c r="AA49" i="4" s="1"/>
  <c r="U49" i="4"/>
  <c r="T50" i="4"/>
  <c r="R50" i="4"/>
  <c r="O50" i="4"/>
  <c r="N54" i="5" s="1"/>
  <c r="O54" i="5" s="1"/>
  <c r="Q50" i="4" s="1"/>
  <c r="W50" i="4" l="1"/>
  <c r="X50" i="4"/>
  <c r="AA50" i="4" s="1"/>
  <c r="U50" i="4"/>
  <c r="AE50" i="4"/>
  <c r="Q54" i="5" s="1"/>
  <c r="AC49" i="4"/>
  <c r="P53" i="5" s="1"/>
  <c r="Y49" i="4"/>
  <c r="AC50" i="4" l="1"/>
  <c r="P54" i="5" s="1"/>
  <c r="Y50" i="4"/>
</calcChain>
</file>

<file path=xl/sharedStrings.xml><?xml version="1.0" encoding="utf-8"?>
<sst xmlns="http://schemas.openxmlformats.org/spreadsheetml/2006/main" count="195" uniqueCount="157">
  <si>
    <t>T</t>
  </si>
  <si>
    <t>e/sec</t>
  </si>
  <si>
    <t>photons/sec/nm/arcsec^2/m^2</t>
  </si>
  <si>
    <t>for a 50%-tile 'dark sky' (20.7 in V-band):</t>
  </si>
  <si>
    <t xml:space="preserve"> wavelength (nm)</t>
  </si>
  <si>
    <t>skyflux (photons/sec/nm/arcsec^2/m^2)</t>
  </si>
  <si>
    <t>wavelength spread</t>
  </si>
  <si>
    <t>nm</t>
  </si>
  <si>
    <t>arc-sec/pixel</t>
  </si>
  <si>
    <t>scope aperture</t>
  </si>
  <si>
    <t>m</t>
  </si>
  <si>
    <t>optical and electronic efficiency</t>
  </si>
  <si>
    <t>re-calcualted skyflux for your sky</t>
  </si>
  <si>
    <t>Enter the skyflux from the table above, based on filter selection (use 550nm for broadband)</t>
  </si>
  <si>
    <t>656 (Ha)</t>
  </si>
  <si>
    <t>500 (OIII)</t>
  </si>
  <si>
    <t>© 2018 S. Bellavia</t>
  </si>
  <si>
    <t>Enter your sky background in Mag/sq-arcsec</t>
  </si>
  <si>
    <t>e/sec per pixel</t>
  </si>
  <si>
    <t>sampling</t>
  </si>
  <si>
    <t>Sky Flux</t>
  </si>
  <si>
    <t>Dark Noise       (e-/sec)</t>
  </si>
  <si>
    <t>Sky fog       (e-/sec)</t>
  </si>
  <si>
    <t>Obj Signal       (e-/sec)</t>
  </si>
  <si>
    <t>Camera Specification/Controls</t>
  </si>
  <si>
    <t>ZWO Gain</t>
  </si>
  <si>
    <t>GADU (e/ADU)</t>
  </si>
  <si>
    <t>FWC</t>
  </si>
  <si>
    <t>DR</t>
  </si>
  <si>
    <t>Read noise</t>
  </si>
  <si>
    <t>ZWO Bias</t>
  </si>
  <si>
    <t>Bias        (e-'s)</t>
  </si>
  <si>
    <t>exposure        (sec)</t>
  </si>
  <si>
    <t>exposure   (min)</t>
  </si>
  <si>
    <t># subs</t>
  </si>
  <si>
    <t>Single Sub Dark noise</t>
  </si>
  <si>
    <t>Single Sub Sky Background</t>
  </si>
  <si>
    <t>Single sub Swamp factor</t>
  </si>
  <si>
    <r>
      <t>FWC</t>
    </r>
    <r>
      <rPr>
        <vertAlign val="subscript"/>
        <sz val="11"/>
        <color theme="1"/>
        <rFont val="Calibri"/>
        <family val="2"/>
        <scheme val="minor"/>
      </rPr>
      <t>eff</t>
    </r>
  </si>
  <si>
    <t>Ntotal</t>
  </si>
  <si>
    <t>Bits</t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</si>
  <si>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</si>
  <si>
    <t>Int Bits</t>
  </si>
  <si>
    <t>Int SNR</t>
  </si>
  <si>
    <t>Equations</t>
  </si>
  <si>
    <t>Gain =10*20Log((e/ADU at gain 0)/GADU)</t>
  </si>
  <si>
    <r>
      <t>Swamp Factor = Sky Background/RN</t>
    </r>
    <r>
      <rPr>
        <vertAlign val="superscript"/>
        <sz val="11"/>
        <color theme="1"/>
        <rFont val="Calibri"/>
        <family val="2"/>
        <scheme val="minor"/>
      </rPr>
      <t>2</t>
    </r>
  </si>
  <si>
    <t>FWCeff = FWC - (Bias+Dark+Sky)</t>
  </si>
  <si>
    <r>
      <t>Ntotal = sqrt (Sky + Dark +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</si>
  <si>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Ntotal</t>
    </r>
    <r>
      <rPr>
        <vertAlign val="subscript"/>
        <sz val="11"/>
        <color theme="1"/>
        <rFont val="Calibri"/>
        <family val="2"/>
        <scheme val="minor"/>
      </rPr>
      <t>int</t>
    </r>
    <r>
      <rPr>
        <sz val="11"/>
        <color theme="1"/>
        <rFont val="Calibri"/>
        <family val="2"/>
        <scheme val="minor"/>
      </rPr>
      <t xml:space="preserve"> = Ntotal/sqrt(Csubs)</t>
    </r>
  </si>
  <si>
    <t>Bits = log(FWCeff/Ntotal) / log(2)</t>
  </si>
  <si>
    <r>
      <t>Bits</t>
    </r>
    <r>
      <rPr>
        <vertAlign val="subscript"/>
        <sz val="11"/>
        <color theme="1"/>
        <rFont val="Calibri"/>
        <family val="2"/>
        <scheme val="minor"/>
      </rPr>
      <t xml:space="preserve">int </t>
    </r>
    <r>
      <rPr>
        <sz val="11"/>
        <color theme="1"/>
        <rFont val="Calibri"/>
        <family val="2"/>
        <scheme val="minor"/>
      </rPr>
      <t>= log(sqrt(Csubs)*(FWCeff/Ntotal</t>
    </r>
    <r>
      <rPr>
        <sz val="11"/>
        <color theme="1"/>
        <rFont val="Calibri"/>
        <family val="2"/>
        <scheme val="minor"/>
      </rPr>
      <t>)) / log(2)</t>
    </r>
  </si>
  <si>
    <r>
      <t>SNR = (Csubs*Obj)/sqrt(Csubs*(Obj+Sky+Dark+RN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))</t>
    </r>
  </si>
  <si>
    <t>Sky flux</t>
  </si>
  <si>
    <t>Sky Background</t>
  </si>
  <si>
    <t>mag/sq-arcsec</t>
  </si>
  <si>
    <t>Scope Aperture</t>
  </si>
  <si>
    <t>Scope focal length</t>
  </si>
  <si>
    <t>pixel size</t>
  </si>
  <si>
    <t>micron</t>
  </si>
  <si>
    <t>nanometers</t>
  </si>
  <si>
    <t>filter bandwidth</t>
  </si>
  <si>
    <t>Desired Swamp Factor</t>
  </si>
  <si>
    <r>
      <t>(skyflux / RN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</si>
  <si>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Input:</t>
  </si>
  <si>
    <t>Output:</t>
  </si>
  <si>
    <t>(e/sec) / pixel</t>
  </si>
  <si>
    <t>Total Integration Time</t>
  </si>
  <si>
    <t>minutes</t>
  </si>
  <si>
    <t>filter wavelength</t>
  </si>
  <si>
    <t>lambda</t>
  </si>
  <si>
    <t>flux</t>
  </si>
  <si>
    <t>Gain</t>
  </si>
  <si>
    <t>Sub-exp</t>
  </si>
  <si>
    <t>N</t>
  </si>
  <si>
    <t>SNR</t>
  </si>
  <si>
    <t>Integrated</t>
  </si>
  <si>
    <t>Dark Current</t>
  </si>
  <si>
    <t>(QE, etc)</t>
  </si>
  <si>
    <t>Transmission efficiency</t>
  </si>
  <si>
    <t>bits</t>
  </si>
  <si>
    <t>(e/sec)/pixel = T*Photon flux*bandwidth*sampling^2*(PI()*aperture^2/4)</t>
  </si>
  <si>
    <t>Your sky</t>
  </si>
  <si>
    <t>Measured Sky Background</t>
  </si>
  <si>
    <t>Photon flux = (e/sec)/pixel/[T*bandwidth*sampling^2*(PI()*aperure^2/4)]</t>
  </si>
  <si>
    <t>Photon flux for 20.7 sky</t>
  </si>
  <si>
    <r>
      <t>m1 = mref-2.5log(I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/I</t>
    </r>
    <r>
      <rPr>
        <vertAlign val="subscript"/>
        <sz val="11"/>
        <color theme="1"/>
        <rFont val="Calibri"/>
        <family val="2"/>
        <scheme val="minor"/>
      </rPr>
      <t>ref</t>
    </r>
    <r>
      <rPr>
        <sz val="11"/>
        <color theme="1"/>
        <rFont val="Calibri"/>
        <family val="2"/>
        <scheme val="minor"/>
      </rPr>
      <t>)</t>
    </r>
  </si>
  <si>
    <t>16 bit</t>
  </si>
  <si>
    <t>Skyglow background</t>
  </si>
  <si>
    <t>ADU of an area in the background</t>
  </si>
  <si>
    <t>Dark signal</t>
  </si>
  <si>
    <t>ADU of a matched dark frame</t>
  </si>
  <si>
    <t>Bias signal</t>
  </si>
  <si>
    <t>ADU of your bias</t>
  </si>
  <si>
    <t>Exposure duration</t>
  </si>
  <si>
    <t>e-/ADU</t>
  </si>
  <si>
    <t>in electrons</t>
  </si>
  <si>
    <t>ADU</t>
  </si>
  <si>
    <t>electrons</t>
  </si>
  <si>
    <t>Skyglow signal</t>
  </si>
  <si>
    <t>ADU/sec</t>
  </si>
  <si>
    <t>Duration (seconds) for light frame &amp; dark</t>
  </si>
  <si>
    <t>Input Data from an Image</t>
  </si>
  <si>
    <t>Your sky photon flux</t>
  </si>
  <si>
    <t>Equations:</t>
  </si>
  <si>
    <t>Offset</t>
  </si>
  <si>
    <t>© 2019 S. Bellavia</t>
  </si>
  <si>
    <t>Read Noise</t>
  </si>
  <si>
    <t>14 bit</t>
  </si>
  <si>
    <t>Bias          (14 bit ADU's)</t>
  </si>
  <si>
    <r>
      <t>(phs/s/nm/arcsec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</si>
  <si>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r>
      <t>(photons/sec/nm/arcsec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/m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</si>
  <si>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DR (bits)</t>
  </si>
  <si>
    <t>Enter Gain for DR and SNR vs. Total Integration:</t>
  </si>
  <si>
    <t>object signal</t>
  </si>
  <si>
    <r>
      <t>mag/arcsec</t>
    </r>
    <r>
      <rPr>
        <vertAlign val="superscript"/>
        <sz val="11"/>
        <color theme="1"/>
        <rFont val="Calibri"/>
        <family val="2"/>
        <scheme val="minor"/>
      </rPr>
      <t>2</t>
    </r>
  </si>
  <si>
    <t>ZWO ASI 533 Gain and Sub-Exposure Calculator</t>
  </si>
  <si>
    <t>ZWO ASI 533 Gain-sub-exposure</t>
  </si>
  <si>
    <t>Bias          (16 bit ADU's)</t>
  </si>
  <si>
    <t>Quant error</t>
  </si>
  <si>
    <t>f/ratio</t>
  </si>
  <si>
    <t>Filter:</t>
  </si>
  <si>
    <t>Filter</t>
  </si>
  <si>
    <t>Wavelength</t>
  </si>
  <si>
    <t>Bandpass</t>
  </si>
  <si>
    <t>Blue</t>
  </si>
  <si>
    <t>Green</t>
  </si>
  <si>
    <t>Ha 12 nm</t>
  </si>
  <si>
    <t>Ha 3 nm</t>
  </si>
  <si>
    <t>Ha 6 nm</t>
  </si>
  <si>
    <t>Ha 7 nm</t>
  </si>
  <si>
    <t>IDAS Duo</t>
  </si>
  <si>
    <t>Lum</t>
  </si>
  <si>
    <t>OIII 12 nm</t>
  </si>
  <si>
    <t>OIII 3 nm</t>
  </si>
  <si>
    <t>OIII 6 nm</t>
  </si>
  <si>
    <t>OIII 7 nm</t>
  </si>
  <si>
    <t>Optolong L-Enhance</t>
  </si>
  <si>
    <t>Red</t>
  </si>
  <si>
    <t>SII 12 nm</t>
  </si>
  <si>
    <t>SII 3 nm</t>
  </si>
  <si>
    <t>SII 6 nm</t>
  </si>
  <si>
    <t>SII 7 nm</t>
  </si>
  <si>
    <t>Triad</t>
  </si>
  <si>
    <t>ZWO Duo</t>
  </si>
  <si>
    <t>© 2021 S. Bellavia</t>
  </si>
  <si>
    <t>ONLY ENTER DATA IN BLUE (OR GRAY) BOXES.  DO NOT ALTER DATA ON OTHER SHEETS</t>
  </si>
  <si>
    <t>Note:  Once you manually enter the Skybackground, Cell D6, and Dark Current, cell D12,  you will lose the link to that calcualtion.  To retrieve it change Cell D6 back to "=H34" and cell D12 back to "=K24"</t>
  </si>
  <si>
    <t>Results</t>
  </si>
  <si>
    <r>
      <rPr>
        <b/>
        <sz val="11"/>
        <color theme="1"/>
        <rFont val="Calibri"/>
        <family val="2"/>
        <scheme val="minor"/>
      </rPr>
      <t xml:space="preserve"> OR</t>
    </r>
    <r>
      <rPr>
        <sz val="11"/>
        <color theme="1"/>
        <rFont val="Calibri"/>
        <family val="2"/>
        <scheme val="minor"/>
      </rPr>
      <t xml:space="preserve">   take data directly from an image:</t>
    </r>
  </si>
  <si>
    <t>Enter Camera Gain</t>
  </si>
  <si>
    <t>actual skyflux</t>
  </si>
  <si>
    <t>measured background</t>
  </si>
  <si>
    <t>actual background</t>
  </si>
  <si>
    <t>IDAS LPS D1</t>
  </si>
  <si>
    <t>L-Extreme</t>
  </si>
  <si>
    <t>If you know your sky background and dark current, enter it here: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</si>
</sst>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rgb="FFE9F4E8"/>
        <bgColor indexed="64"/>
      </patternFill>
    </fill>
    <fill>
      <patternFill patternType="solid">
        <fgColor theme="2" tint="-9.9978637043366805E-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9" xfId="0" applyFill="1" applyBorder="1" applyAlignment="1">
      <alignment horizontal="center"/>
    </xf>
    <xf numFmtId="164" fontId="1" fillId="3" borderId="9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164" fontId="3" fillId="3" borderId="9" xfId="0" applyNumberFormat="1" applyFont="1" applyFill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64" fontId="0" fillId="4" borderId="9" xfId="0" applyNumberFormat="1" applyFill="1" applyBorder="1"/>
    <xf numFmtId="2" fontId="0" fillId="4" borderId="9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0" fontId="1" fillId="0" borderId="1" xfId="0" applyFont="1" applyBorder="1"/>
    <xf numFmtId="0" fontId="0" fillId="0" borderId="2" xfId="0" applyFill="1" applyBorder="1"/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" xfId="0" applyBorder="1" applyAlignment="1">
      <alignment horizontal="right"/>
    </xf>
    <xf numFmtId="2" fontId="0" fillId="2" borderId="9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9" xfId="0" applyFill="1" applyBorder="1" applyAlignment="1">
      <alignment horizontal="left"/>
    </xf>
    <xf numFmtId="0" fontId="10" fillId="0" borderId="4" xfId="0" applyFont="1" applyBorder="1"/>
    <xf numFmtId="0" fontId="11" fillId="0" borderId="0" xfId="0" applyFont="1" applyBorder="1"/>
    <xf numFmtId="0" fontId="0" fillId="0" borderId="0" xfId="0" applyBorder="1" applyAlignment="1">
      <alignment horizontal="left"/>
    </xf>
    <xf numFmtId="0" fontId="0" fillId="0" borderId="4" xfId="0" applyBorder="1" applyAlignment="1">
      <alignment horizontal="right"/>
    </xf>
    <xf numFmtId="0" fontId="10" fillId="0" borderId="1" xfId="0" applyFont="1" applyBorder="1"/>
    <xf numFmtId="0" fontId="11" fillId="0" borderId="7" xfId="0" applyFont="1" applyBorder="1"/>
    <xf numFmtId="0" fontId="12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4" fontId="13" fillId="4" borderId="22" xfId="0" applyNumberFormat="1" applyFon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1" fontId="0" fillId="0" borderId="0" xfId="0" applyNumberFormat="1"/>
    <xf numFmtId="164" fontId="0" fillId="4" borderId="21" xfId="0" applyNumberFormat="1" applyFill="1" applyBorder="1" applyAlignment="1">
      <alignment horizontal="center"/>
    </xf>
    <xf numFmtId="164" fontId="0" fillId="4" borderId="23" xfId="0" applyNumberForma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5" xfId="0" applyBorder="1"/>
    <xf numFmtId="164" fontId="0" fillId="4" borderId="21" xfId="0" applyNumberFormat="1" applyFill="1" applyBorder="1"/>
    <xf numFmtId="0" fontId="0" fillId="0" borderId="26" xfId="0" applyBorder="1"/>
    <xf numFmtId="165" fontId="0" fillId="5" borderId="9" xfId="0" applyNumberFormat="1" applyFill="1" applyBorder="1"/>
    <xf numFmtId="0" fontId="0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5" fontId="0" fillId="4" borderId="9" xfId="0" applyNumberFormat="1" applyFill="1" applyBorder="1" applyAlignment="1">
      <alignment horizontal="center"/>
    </xf>
    <xf numFmtId="2" fontId="15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2" fontId="14" fillId="0" borderId="0" xfId="0" applyNumberFormat="1" applyFont="1" applyAlignment="1">
      <alignment horizontal="center"/>
    </xf>
    <xf numFmtId="2" fontId="15" fillId="0" borderId="0" xfId="0" applyNumberFormat="1" applyFont="1"/>
    <xf numFmtId="0" fontId="9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" fillId="0" borderId="2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0" fillId="4" borderId="9" xfId="0" applyNumberFormat="1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12" fillId="0" borderId="1" xfId="0" applyFont="1" applyBorder="1"/>
    <xf numFmtId="0" fontId="0" fillId="0" borderId="2" xfId="0" applyBorder="1" applyAlignment="1">
      <alignment horizontal="left"/>
    </xf>
    <xf numFmtId="0" fontId="11" fillId="0" borderId="2" xfId="0" applyFont="1" applyBorder="1"/>
    <xf numFmtId="0" fontId="0" fillId="4" borderId="21" xfId="0" applyFill="1" applyBorder="1" applyAlignment="1">
      <alignment horizontal="left"/>
    </xf>
    <xf numFmtId="0" fontId="0" fillId="6" borderId="9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17" fillId="2" borderId="24" xfId="0" applyFont="1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1" fillId="0" borderId="0" xfId="0" applyFont="1" applyAlignment="1">
      <alignment horizontal="center"/>
    </xf>
    <xf numFmtId="2" fontId="0" fillId="6" borderId="9" xfId="0" applyNumberForma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E9F4E8"/>
      <color rgb="FFFFE7E7"/>
      <color rgb="FFDDFFFF"/>
      <color rgb="FFFFFFCC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893858481539095"/>
          <c:y val="0.16206128133704739"/>
          <c:w val="0.82175387954306134"/>
          <c:h val="0.66413221327835414"/>
        </c:manualLayout>
      </c:layout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9.146259842519687E-2"/>
                  <c:y val="-9.0848643919510058E-2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50-43FB-BD68-58CDF31F85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8949088"/>
        <c:axId val="218949416"/>
      </c:scatterChart>
      <c:valAx>
        <c:axId val="218949088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Wavelength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416"/>
        <c:crosses val="autoZero"/>
        <c:crossBetween val="midCat"/>
      </c:valAx>
      <c:valAx>
        <c:axId val="218949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Flux</a:t>
                </a:r>
              </a:p>
            </c:rich>
          </c:tx>
          <c:layout>
            <c:manualLayout>
              <c:xMode val="edge"/>
              <c:yMode val="edge"/>
              <c:x val="1.8452031581592015E-2"/>
              <c:y val="0.435603711096001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89490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Skyflux!$F$9</c:f>
              <c:strCache>
                <c:ptCount val="1"/>
                <c:pt idx="0">
                  <c:v>flux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9212650313274268"/>
                  <c:y val="-9.8722028678454032E-2"/>
                </c:manualLayout>
              </c:layout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Skyflux!$E$10:$E$12</c:f>
              <c:numCache>
                <c:formatCode>General</c:formatCode>
                <c:ptCount val="3"/>
                <c:pt idx="0">
                  <c:v>450</c:v>
                </c:pt>
                <c:pt idx="1">
                  <c:v>550</c:v>
                </c:pt>
                <c:pt idx="2">
                  <c:v>656</c:v>
                </c:pt>
              </c:numCache>
            </c:numRef>
          </c:xVal>
          <c:yVal>
            <c:numRef>
              <c:f>Skyflux!$F$10:$F$12</c:f>
              <c:numCache>
                <c:formatCode>0.000</c:formatCode>
                <c:ptCount val="3"/>
                <c:pt idx="0" formatCode="General">
                  <c:v>0.57599999999999996</c:v>
                </c:pt>
                <c:pt idx="1">
                  <c:v>0.54</c:v>
                </c:pt>
                <c:pt idx="2" formatCode="General">
                  <c:v>0.49199999999999999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2E-44C7-8346-1786F760FC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6463359"/>
        <c:axId val="996451711"/>
      </c:scatterChart>
      <c:valAx>
        <c:axId val="996463359"/>
        <c:scaling>
          <c:orientation val="minMax"/>
          <c:min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51711"/>
        <c:crosses val="autoZero"/>
        <c:crossBetween val="midCat"/>
      </c:valAx>
      <c:valAx>
        <c:axId val="996451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6463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Sony</a:t>
            </a:r>
            <a:r>
              <a:rPr lang="en-US" baseline="0"/>
              <a:t> IMX 533</a:t>
            </a:r>
          </a:p>
          <a:p>
            <a:pPr>
              <a:defRPr/>
            </a:pPr>
            <a:r>
              <a:rPr lang="en-US"/>
              <a:t>Integrated Bit Depth vs </a:t>
            </a:r>
            <a:r>
              <a:rPr lang="en-US" baseline="0"/>
              <a:t>Gain</a:t>
            </a:r>
          </a:p>
        </c:rich>
      </c:tx>
      <c:layout>
        <c:manualLayout>
          <c:xMode val="edge"/>
          <c:yMode val="edge"/>
          <c:x val="0.23330424090573468"/>
          <c:y val="3.456464460317702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187612480156063"/>
          <c:y val="0.19809983461446448"/>
          <c:w val="0.64008249586669796"/>
          <c:h val="0.6837167995509995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'ASI533-specs-DR-SNR'!$AC$4</c:f>
              <c:strCache>
                <c:ptCount val="1"/>
                <c:pt idx="0">
                  <c:v>Int Bits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'ASI533-specs-DR-SNR'!$A$5:$A$50</c:f>
              <c:numCache>
                <c:formatCode>General</c:formatCode>
                <c:ptCount val="4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</c:numCache>
            </c:numRef>
          </c:xVal>
          <c:yVal>
            <c:numRef>
              <c:f>'ASI533-specs-DR-SNR'!$AC$5:$AC$50</c:f>
              <c:numCache>
                <c:formatCode>0.00</c:formatCode>
                <c:ptCount val="46"/>
                <c:pt idx="0">
                  <c:v>14.558121323463361</c:v>
                </c:pt>
                <c:pt idx="1">
                  <c:v>14.445357990474216</c:v>
                </c:pt>
                <c:pt idx="2">
                  <c:v>14.332529291826248</c:v>
                </c:pt>
                <c:pt idx="3">
                  <c:v>14.219616194508333</c:v>
                </c:pt>
                <c:pt idx="4">
                  <c:v>14.106598395180056</c:v>
                </c:pt>
                <c:pt idx="5">
                  <c:v>13.993454204038498</c:v>
                </c:pt>
                <c:pt idx="6">
                  <c:v>13.880160435327221</c:v>
                </c:pt>
                <c:pt idx="7">
                  <c:v>13.766692309814522</c:v>
                </c:pt>
                <c:pt idx="8">
                  <c:v>13.653023375093223</c:v>
                </c:pt>
                <c:pt idx="9">
                  <c:v>13.539125449857972</c:v>
                </c:pt>
                <c:pt idx="10">
                  <c:v>15.648442228062452</c:v>
                </c:pt>
                <c:pt idx="11">
                  <c:v>15.538452610142132</c:v>
                </c:pt>
                <c:pt idx="12">
                  <c:v>15.418038808366122</c:v>
                </c:pt>
                <c:pt idx="13">
                  <c:v>15.296843782908995</c:v>
                </c:pt>
                <c:pt idx="14">
                  <c:v>15.174821211654244</c:v>
                </c:pt>
                <c:pt idx="15">
                  <c:v>15.051924083537465</c:v>
                </c:pt>
                <c:pt idx="16">
                  <c:v>14.928104863530692</c:v>
                </c:pt>
                <c:pt idx="17">
                  <c:v>14.803315666414491</c:v>
                </c:pt>
                <c:pt idx="18">
                  <c:v>14.677508430302105</c:v>
                </c:pt>
                <c:pt idx="19">
                  <c:v>14.550635077024968</c:v>
                </c:pt>
                <c:pt idx="20">
                  <c:v>14.422647641854613</c:v>
                </c:pt>
                <c:pt idx="21">
                  <c:v>14.293498349659814</c:v>
                </c:pt>
                <c:pt idx="22">
                  <c:v>14.16313960863121</c:v>
                </c:pt>
                <c:pt idx="23">
                  <c:v>14.03152388648186</c:v>
                </c:pt>
                <c:pt idx="24">
                  <c:v>13.898603428153574</c:v>
                </c:pt>
                <c:pt idx="25">
                  <c:v>13.764329769524085</c:v>
                </c:pt>
                <c:pt idx="26">
                  <c:v>13.628652999980925</c:v>
                </c:pt>
                <c:pt idx="27">
                  <c:v>13.491520730358454</c:v>
                </c:pt>
                <c:pt idx="28">
                  <c:v>13.352876735079278</c:v>
                </c:pt>
                <c:pt idx="29">
                  <c:v>13.212659263378592</c:v>
                </c:pt>
                <c:pt idx="30">
                  <c:v>13.070799061312634</c:v>
                </c:pt>
                <c:pt idx="31">
                  <c:v>12.927217223919891</c:v>
                </c:pt>
                <c:pt idx="32">
                  <c:v>12.781823119697949</c:v>
                </c:pt>
                <c:pt idx="33">
                  <c:v>12.634512817888094</c:v>
                </c:pt>
                <c:pt idx="34">
                  <c:v>12.485168732349219</c:v>
                </c:pt>
                <c:pt idx="35">
                  <c:v>12.333661616841791</c:v>
                </c:pt>
                <c:pt idx="36">
                  <c:v>12.179856667740712</c:v>
                </c:pt>
                <c:pt idx="37">
                  <c:v>12.0236264017741</c:v>
                </c:pt>
                <c:pt idx="38">
                  <c:v>11.864874304869439</c:v>
                </c:pt>
                <c:pt idx="39">
                  <c:v>11.703575158720492</c:v>
                </c:pt>
                <c:pt idx="40">
                  <c:v>11.539840625230743</c:v>
                </c:pt>
                <c:pt idx="41">
                  <c:v>11.374022206209846</c:v>
                </c:pt>
                <c:pt idx="42">
                  <c:v>11.206867836494371</c:v>
                </c:pt>
                <c:pt idx="43">
                  <c:v>11.039751800171745</c:v>
                </c:pt>
                <c:pt idx="44">
                  <c:v>10.874996534862152</c:v>
                </c:pt>
                <c:pt idx="45">
                  <c:v>10.716290223601122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44-4FD5-A751-EDFE3D6E1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335896"/>
        <c:axId val="384894256"/>
      </c:scatterChart>
      <c:valAx>
        <c:axId val="384894256"/>
        <c:scaling>
          <c:orientation val="minMax"/>
          <c:min val="1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Integrated Bit Depth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2335896"/>
        <c:crosses val="autoZero"/>
        <c:crossBetween val="midCat"/>
      </c:valAx>
      <c:valAx>
        <c:axId val="392335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 10 x db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4894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9201253712035267"/>
          <c:y val="0.73650110637578758"/>
          <c:w val="0.20006552018138166"/>
          <c:h val="4.35206140818471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FWC!$B$1</c:f>
              <c:strCache>
                <c:ptCount val="1"/>
                <c:pt idx="0">
                  <c:v>FWC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9.2703962703962708E-2"/>
                  <c:y val="-0.38965772135625903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FWC!$A$2:$A$47</c:f>
              <c:numCache>
                <c:formatCode>General</c:formatCode>
                <c:ptCount val="4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</c:numCache>
            </c:numRef>
          </c:xVal>
          <c:yVal>
            <c:numRef>
              <c:f>FWC!$B$2:$B$47</c:f>
              <c:numCache>
                <c:formatCode>General</c:formatCode>
                <c:ptCount val="46"/>
                <c:pt idx="0">
                  <c:v>50</c:v>
                </c:pt>
                <c:pt idx="5">
                  <c:v>28</c:v>
                </c:pt>
                <c:pt idx="10">
                  <c:v>16.2</c:v>
                </c:pt>
                <c:pt idx="15">
                  <c:v>9</c:v>
                </c:pt>
                <c:pt idx="20">
                  <c:v>5</c:v>
                </c:pt>
                <c:pt idx="25">
                  <c:v>3</c:v>
                </c:pt>
                <c:pt idx="30">
                  <c:v>1.65</c:v>
                </c:pt>
                <c:pt idx="35">
                  <c:v>0.9</c:v>
                </c:pt>
                <c:pt idx="40">
                  <c:v>0.52</c:v>
                </c:pt>
                <c:pt idx="45">
                  <c:v>0.32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65-4B00-8C5A-F94F1E9A0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599640"/>
        <c:axId val="437599968"/>
      </c:scatterChart>
      <c:valAx>
        <c:axId val="437599640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599968"/>
        <c:crossesAt val="0.1"/>
        <c:crossBetween val="midCat"/>
      </c:valAx>
      <c:valAx>
        <c:axId val="437599968"/>
        <c:scaling>
          <c:logBase val="10"/>
          <c:orientation val="minMax"/>
          <c:min val="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599640"/>
        <c:crossesAt val="1.0000000000000002E-2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5"/>
            <c:dispRSqr val="1"/>
            <c:dispEq val="1"/>
            <c:trendlineLbl>
              <c:layout>
                <c:manualLayout>
                  <c:x val="1.0247758798843177E-2"/>
                  <c:y val="-0.60859490268052607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Gain!$A$2:$A$47</c:f>
              <c:numCache>
                <c:formatCode>General</c:formatCode>
                <c:ptCount val="4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</c:numCache>
            </c:numRef>
          </c:xVal>
          <c:yVal>
            <c:numRef>
              <c:f>Gain!$B$2:$B$47</c:f>
              <c:numCache>
                <c:formatCode>0.00</c:formatCode>
                <c:ptCount val="46"/>
                <c:pt idx="0">
                  <c:v>3.2</c:v>
                </c:pt>
                <c:pt idx="5">
                  <c:v>1.76</c:v>
                </c:pt>
                <c:pt idx="10">
                  <c:v>1</c:v>
                </c:pt>
                <c:pt idx="15">
                  <c:v>0.58499999999999996</c:v>
                </c:pt>
                <c:pt idx="20">
                  <c:v>0.32</c:v>
                </c:pt>
                <c:pt idx="25">
                  <c:v>0.2</c:v>
                </c:pt>
                <c:pt idx="30">
                  <c:v>0.1</c:v>
                </c:pt>
                <c:pt idx="35">
                  <c:v>7.0000000000000007E-2</c:v>
                </c:pt>
                <c:pt idx="40">
                  <c:v>0.04</c:v>
                </c:pt>
                <c:pt idx="45" formatCode="General">
                  <c:v>0.01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89-4423-B8A8-600EAAB09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DR!$B$1</c:f>
              <c:strCache>
                <c:ptCount val="1"/>
                <c:pt idx="0">
                  <c:v>DR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DR!$A$2:$A$48</c:f>
              <c:numCache>
                <c:formatCode>General</c:formatCode>
                <c:ptCount val="4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  <c:pt idx="14">
                  <c:v>130</c:v>
                </c:pt>
                <c:pt idx="15">
                  <c:v>140</c:v>
                </c:pt>
                <c:pt idx="16">
                  <c:v>150</c:v>
                </c:pt>
                <c:pt idx="17">
                  <c:v>160</c:v>
                </c:pt>
                <c:pt idx="18">
                  <c:v>170</c:v>
                </c:pt>
                <c:pt idx="19">
                  <c:v>180</c:v>
                </c:pt>
                <c:pt idx="20">
                  <c:v>190</c:v>
                </c:pt>
                <c:pt idx="21">
                  <c:v>200</c:v>
                </c:pt>
                <c:pt idx="22">
                  <c:v>210</c:v>
                </c:pt>
                <c:pt idx="23">
                  <c:v>220</c:v>
                </c:pt>
                <c:pt idx="24">
                  <c:v>230</c:v>
                </c:pt>
                <c:pt idx="25">
                  <c:v>240</c:v>
                </c:pt>
                <c:pt idx="26">
                  <c:v>250</c:v>
                </c:pt>
                <c:pt idx="27">
                  <c:v>260</c:v>
                </c:pt>
                <c:pt idx="28">
                  <c:v>270</c:v>
                </c:pt>
                <c:pt idx="29">
                  <c:v>280</c:v>
                </c:pt>
                <c:pt idx="30">
                  <c:v>290</c:v>
                </c:pt>
                <c:pt idx="31">
                  <c:v>300</c:v>
                </c:pt>
                <c:pt idx="32">
                  <c:v>310</c:v>
                </c:pt>
                <c:pt idx="33">
                  <c:v>320</c:v>
                </c:pt>
                <c:pt idx="34">
                  <c:v>330</c:v>
                </c:pt>
                <c:pt idx="35">
                  <c:v>340</c:v>
                </c:pt>
                <c:pt idx="36">
                  <c:v>350</c:v>
                </c:pt>
                <c:pt idx="37">
                  <c:v>360</c:v>
                </c:pt>
                <c:pt idx="38">
                  <c:v>370</c:v>
                </c:pt>
                <c:pt idx="39">
                  <c:v>380</c:v>
                </c:pt>
                <c:pt idx="40">
                  <c:v>390</c:v>
                </c:pt>
                <c:pt idx="41">
                  <c:v>400</c:v>
                </c:pt>
                <c:pt idx="42">
                  <c:v>410</c:v>
                </c:pt>
                <c:pt idx="43">
                  <c:v>420</c:v>
                </c:pt>
                <c:pt idx="44">
                  <c:v>430</c:v>
                </c:pt>
                <c:pt idx="45">
                  <c:v>440</c:v>
                </c:pt>
                <c:pt idx="46">
                  <c:v>450</c:v>
                </c:pt>
              </c:numCache>
            </c:numRef>
          </c:xVal>
          <c:yVal>
            <c:numRef>
              <c:f>DR!$B$2:$B$48</c:f>
              <c:numCache>
                <c:formatCode>0.00</c:formatCode>
                <c:ptCount val="47"/>
                <c:pt idx="0">
                  <c:v>13.7</c:v>
                </c:pt>
                <c:pt idx="5">
                  <c:v>13</c:v>
                </c:pt>
                <c:pt idx="10">
                  <c:v>12.3</c:v>
                </c:pt>
                <c:pt idx="11">
                  <c:v>13.4</c:v>
                </c:pt>
                <c:pt idx="16">
                  <c:v>12.7</c:v>
                </c:pt>
                <c:pt idx="21">
                  <c:v>12</c:v>
                </c:pt>
                <c:pt idx="26">
                  <c:v>11.2</c:v>
                </c:pt>
                <c:pt idx="31">
                  <c:v>10.4</c:v>
                </c:pt>
                <c:pt idx="36">
                  <c:v>9.6</c:v>
                </c:pt>
                <c:pt idx="41">
                  <c:v>8.9</c:v>
                </c:pt>
                <c:pt idx="46" formatCode="General">
                  <c:v>8.1999999999999993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B54-4F64-8DD1-59D4D02273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14"/>
          <c:min val="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 Gain 0 to 100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DR!$B$1</c:f>
              <c:strCache>
                <c:ptCount val="1"/>
                <c:pt idx="0">
                  <c:v>DR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1004593175853018"/>
                  <c:y val="-0.3404133858267716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DR!$A$2:$A$12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DR!$B$2:$B$12</c:f>
              <c:numCache>
                <c:formatCode>0.00</c:formatCode>
                <c:ptCount val="11"/>
                <c:pt idx="0">
                  <c:v>13.7</c:v>
                </c:pt>
                <c:pt idx="5">
                  <c:v>13</c:v>
                </c:pt>
                <c:pt idx="10">
                  <c:v>12.3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2A-4B73-A9ED-4E4B042F01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9695888"/>
        <c:axId val="439696216"/>
      </c:scatterChart>
      <c:valAx>
        <c:axId val="43969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696216"/>
        <c:crosses val="autoZero"/>
        <c:crossBetween val="midCat"/>
      </c:valAx>
      <c:valAx>
        <c:axId val="439696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69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 Gain 100 to 450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22961395450568678"/>
                  <c:y val="-7.210921551472732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DR!$A$13:$A$48</c:f>
              <c:numCache>
                <c:formatCode>General</c:formatCode>
                <c:ptCount val="36"/>
                <c:pt idx="0">
                  <c:v>100</c:v>
                </c:pt>
                <c:pt idx="1">
                  <c:v>110</c:v>
                </c:pt>
                <c:pt idx="2">
                  <c:v>120</c:v>
                </c:pt>
                <c:pt idx="3">
                  <c:v>130</c:v>
                </c:pt>
                <c:pt idx="4">
                  <c:v>140</c:v>
                </c:pt>
                <c:pt idx="5">
                  <c:v>150</c:v>
                </c:pt>
                <c:pt idx="6">
                  <c:v>160</c:v>
                </c:pt>
                <c:pt idx="7">
                  <c:v>170</c:v>
                </c:pt>
                <c:pt idx="8">
                  <c:v>180</c:v>
                </c:pt>
                <c:pt idx="9">
                  <c:v>190</c:v>
                </c:pt>
                <c:pt idx="10">
                  <c:v>200</c:v>
                </c:pt>
                <c:pt idx="11">
                  <c:v>210</c:v>
                </c:pt>
                <c:pt idx="12">
                  <c:v>220</c:v>
                </c:pt>
                <c:pt idx="13">
                  <c:v>230</c:v>
                </c:pt>
                <c:pt idx="14">
                  <c:v>240</c:v>
                </c:pt>
                <c:pt idx="15">
                  <c:v>250</c:v>
                </c:pt>
                <c:pt idx="16">
                  <c:v>260</c:v>
                </c:pt>
                <c:pt idx="17">
                  <c:v>270</c:v>
                </c:pt>
                <c:pt idx="18">
                  <c:v>280</c:v>
                </c:pt>
                <c:pt idx="19">
                  <c:v>290</c:v>
                </c:pt>
                <c:pt idx="20">
                  <c:v>300</c:v>
                </c:pt>
                <c:pt idx="21">
                  <c:v>310</c:v>
                </c:pt>
                <c:pt idx="22">
                  <c:v>320</c:v>
                </c:pt>
                <c:pt idx="23">
                  <c:v>330</c:v>
                </c:pt>
                <c:pt idx="24">
                  <c:v>340</c:v>
                </c:pt>
                <c:pt idx="25">
                  <c:v>350</c:v>
                </c:pt>
                <c:pt idx="26">
                  <c:v>360</c:v>
                </c:pt>
                <c:pt idx="27">
                  <c:v>370</c:v>
                </c:pt>
                <c:pt idx="28">
                  <c:v>380</c:v>
                </c:pt>
                <c:pt idx="29">
                  <c:v>390</c:v>
                </c:pt>
                <c:pt idx="30">
                  <c:v>400</c:v>
                </c:pt>
                <c:pt idx="31">
                  <c:v>410</c:v>
                </c:pt>
                <c:pt idx="32">
                  <c:v>420</c:v>
                </c:pt>
                <c:pt idx="33">
                  <c:v>430</c:v>
                </c:pt>
                <c:pt idx="34">
                  <c:v>440</c:v>
                </c:pt>
                <c:pt idx="35">
                  <c:v>450</c:v>
                </c:pt>
              </c:numCache>
            </c:numRef>
          </c:xVal>
          <c:yVal>
            <c:numRef>
              <c:f>DR!$B$13:$B$48</c:f>
              <c:numCache>
                <c:formatCode>0.00</c:formatCode>
                <c:ptCount val="36"/>
                <c:pt idx="0">
                  <c:v>13.4</c:v>
                </c:pt>
                <c:pt idx="5">
                  <c:v>12.7</c:v>
                </c:pt>
                <c:pt idx="10">
                  <c:v>12</c:v>
                </c:pt>
                <c:pt idx="15">
                  <c:v>11.2</c:v>
                </c:pt>
                <c:pt idx="20">
                  <c:v>10.4</c:v>
                </c:pt>
                <c:pt idx="25">
                  <c:v>9.6</c:v>
                </c:pt>
                <c:pt idx="30">
                  <c:v>8.9</c:v>
                </c:pt>
                <c:pt idx="35" formatCode="General">
                  <c:v>8.1999999999999993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EAC-47D6-A9FE-AC85C0A856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3764928"/>
        <c:axId val="583765256"/>
      </c:scatterChart>
      <c:valAx>
        <c:axId val="583764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5256"/>
        <c:crosses val="autoZero"/>
        <c:crossBetween val="midCat"/>
      </c:valAx>
      <c:valAx>
        <c:axId val="583765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4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'Read Noise'!$B$1</c:f>
              <c:strCache>
                <c:ptCount val="1"/>
                <c:pt idx="0">
                  <c:v>Read Noise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Noise'!$A$2:$A$48</c:f>
              <c:numCache>
                <c:formatCode>General</c:formatCode>
                <c:ptCount val="4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  <c:pt idx="14">
                  <c:v>130</c:v>
                </c:pt>
                <c:pt idx="15">
                  <c:v>140</c:v>
                </c:pt>
                <c:pt idx="16">
                  <c:v>150</c:v>
                </c:pt>
                <c:pt idx="17">
                  <c:v>160</c:v>
                </c:pt>
                <c:pt idx="18">
                  <c:v>170</c:v>
                </c:pt>
                <c:pt idx="19">
                  <c:v>180</c:v>
                </c:pt>
                <c:pt idx="20">
                  <c:v>190</c:v>
                </c:pt>
                <c:pt idx="21">
                  <c:v>200</c:v>
                </c:pt>
                <c:pt idx="22">
                  <c:v>210</c:v>
                </c:pt>
                <c:pt idx="23">
                  <c:v>220</c:v>
                </c:pt>
                <c:pt idx="24">
                  <c:v>230</c:v>
                </c:pt>
                <c:pt idx="25">
                  <c:v>240</c:v>
                </c:pt>
                <c:pt idx="26">
                  <c:v>250</c:v>
                </c:pt>
                <c:pt idx="27">
                  <c:v>260</c:v>
                </c:pt>
                <c:pt idx="28">
                  <c:v>270</c:v>
                </c:pt>
                <c:pt idx="29">
                  <c:v>280</c:v>
                </c:pt>
                <c:pt idx="30">
                  <c:v>290</c:v>
                </c:pt>
                <c:pt idx="31">
                  <c:v>300</c:v>
                </c:pt>
                <c:pt idx="32">
                  <c:v>310</c:v>
                </c:pt>
                <c:pt idx="33">
                  <c:v>320</c:v>
                </c:pt>
                <c:pt idx="34">
                  <c:v>330</c:v>
                </c:pt>
                <c:pt idx="35">
                  <c:v>340</c:v>
                </c:pt>
                <c:pt idx="36">
                  <c:v>350</c:v>
                </c:pt>
                <c:pt idx="37">
                  <c:v>360</c:v>
                </c:pt>
                <c:pt idx="38">
                  <c:v>370</c:v>
                </c:pt>
                <c:pt idx="39">
                  <c:v>380</c:v>
                </c:pt>
                <c:pt idx="40">
                  <c:v>390</c:v>
                </c:pt>
                <c:pt idx="41">
                  <c:v>400</c:v>
                </c:pt>
                <c:pt idx="42">
                  <c:v>410</c:v>
                </c:pt>
                <c:pt idx="43">
                  <c:v>420</c:v>
                </c:pt>
                <c:pt idx="44">
                  <c:v>430</c:v>
                </c:pt>
                <c:pt idx="45">
                  <c:v>440</c:v>
                </c:pt>
                <c:pt idx="46">
                  <c:v>450</c:v>
                </c:pt>
              </c:numCache>
            </c:numRef>
          </c:xVal>
          <c:yVal>
            <c:numRef>
              <c:f>'Read Noise'!$B$2:$B$48</c:f>
              <c:numCache>
                <c:formatCode>0.00</c:formatCode>
                <c:ptCount val="47"/>
                <c:pt idx="0">
                  <c:v>3.9</c:v>
                </c:pt>
                <c:pt idx="5">
                  <c:v>3.57</c:v>
                </c:pt>
                <c:pt idx="10">
                  <c:v>3.27</c:v>
                </c:pt>
                <c:pt idx="11">
                  <c:v>1.5</c:v>
                </c:pt>
                <c:pt idx="16">
                  <c:v>1.43</c:v>
                </c:pt>
                <c:pt idx="21">
                  <c:v>1.3</c:v>
                </c:pt>
                <c:pt idx="26">
                  <c:v>1.25</c:v>
                </c:pt>
                <c:pt idx="31">
                  <c:v>1.2</c:v>
                </c:pt>
                <c:pt idx="36">
                  <c:v>1.1499999999999999</c:v>
                </c:pt>
                <c:pt idx="41">
                  <c:v>1.1000000000000001</c:v>
                </c:pt>
                <c:pt idx="46" formatCode="General">
                  <c:v>1.1499999999999999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C-4CE1-90CD-54C2ACAFE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3624776"/>
        <c:axId val="484653264"/>
      </c:scatterChart>
      <c:valAx>
        <c:axId val="493624776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653264"/>
        <c:crosses val="autoZero"/>
        <c:crossBetween val="midCat"/>
      </c:valAx>
      <c:valAx>
        <c:axId val="484653264"/>
        <c:scaling>
          <c:orientation val="minMax"/>
          <c:max val="4"/>
          <c:min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624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Read Noise Gain 0 to 100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7.1236210732881821E-3"/>
                  <c:y val="-0.50320355788859727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Noise'!$A$2:$A$12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'Read Noise'!$B$2:$B$12</c:f>
              <c:numCache>
                <c:formatCode>0.00</c:formatCode>
                <c:ptCount val="11"/>
                <c:pt idx="0">
                  <c:v>3.9</c:v>
                </c:pt>
                <c:pt idx="5">
                  <c:v>3.57</c:v>
                </c:pt>
                <c:pt idx="10">
                  <c:v>3.27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A6-4357-A13D-2BCD26DA1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3766568"/>
        <c:axId val="583767224"/>
      </c:scatterChart>
      <c:valAx>
        <c:axId val="583766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7224"/>
        <c:crosses val="autoZero"/>
        <c:crossBetween val="midCat"/>
      </c:valAx>
      <c:valAx>
        <c:axId val="583767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7665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Read Noise Gain 100 to 450</a:t>
            </a:r>
          </a:p>
          <a:p>
            <a:pPr>
              <a:defRPr/>
            </a:pP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19376202974628171"/>
                  <c:y val="0.12530621172353457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'Read Noise'!$A$13:$A$48</c:f>
              <c:numCache>
                <c:formatCode>General</c:formatCode>
                <c:ptCount val="36"/>
                <c:pt idx="0">
                  <c:v>100</c:v>
                </c:pt>
                <c:pt idx="1">
                  <c:v>110</c:v>
                </c:pt>
                <c:pt idx="2">
                  <c:v>120</c:v>
                </c:pt>
                <c:pt idx="3">
                  <c:v>130</c:v>
                </c:pt>
                <c:pt idx="4">
                  <c:v>140</c:v>
                </c:pt>
                <c:pt idx="5">
                  <c:v>150</c:v>
                </c:pt>
                <c:pt idx="6">
                  <c:v>160</c:v>
                </c:pt>
                <c:pt idx="7">
                  <c:v>170</c:v>
                </c:pt>
                <c:pt idx="8">
                  <c:v>180</c:v>
                </c:pt>
                <c:pt idx="9">
                  <c:v>190</c:v>
                </c:pt>
                <c:pt idx="10">
                  <c:v>200</c:v>
                </c:pt>
                <c:pt idx="11">
                  <c:v>210</c:v>
                </c:pt>
                <c:pt idx="12">
                  <c:v>220</c:v>
                </c:pt>
                <c:pt idx="13">
                  <c:v>230</c:v>
                </c:pt>
                <c:pt idx="14">
                  <c:v>240</c:v>
                </c:pt>
                <c:pt idx="15">
                  <c:v>250</c:v>
                </c:pt>
                <c:pt idx="16">
                  <c:v>260</c:v>
                </c:pt>
                <c:pt idx="17">
                  <c:v>270</c:v>
                </c:pt>
                <c:pt idx="18">
                  <c:v>280</c:v>
                </c:pt>
                <c:pt idx="19">
                  <c:v>290</c:v>
                </c:pt>
                <c:pt idx="20">
                  <c:v>300</c:v>
                </c:pt>
                <c:pt idx="21">
                  <c:v>310</c:v>
                </c:pt>
                <c:pt idx="22">
                  <c:v>320</c:v>
                </c:pt>
                <c:pt idx="23">
                  <c:v>330</c:v>
                </c:pt>
                <c:pt idx="24">
                  <c:v>340</c:v>
                </c:pt>
                <c:pt idx="25">
                  <c:v>350</c:v>
                </c:pt>
                <c:pt idx="26">
                  <c:v>360</c:v>
                </c:pt>
                <c:pt idx="27">
                  <c:v>370</c:v>
                </c:pt>
                <c:pt idx="28">
                  <c:v>380</c:v>
                </c:pt>
                <c:pt idx="29">
                  <c:v>390</c:v>
                </c:pt>
                <c:pt idx="30">
                  <c:v>400</c:v>
                </c:pt>
                <c:pt idx="31">
                  <c:v>410</c:v>
                </c:pt>
                <c:pt idx="32">
                  <c:v>420</c:v>
                </c:pt>
                <c:pt idx="33">
                  <c:v>430</c:v>
                </c:pt>
                <c:pt idx="34">
                  <c:v>440</c:v>
                </c:pt>
                <c:pt idx="35">
                  <c:v>450</c:v>
                </c:pt>
              </c:numCache>
            </c:numRef>
          </c:xVal>
          <c:yVal>
            <c:numRef>
              <c:f>'Read Noise'!$B$13:$B$48</c:f>
              <c:numCache>
                <c:formatCode>0.00</c:formatCode>
                <c:ptCount val="36"/>
                <c:pt idx="0">
                  <c:v>1.5</c:v>
                </c:pt>
                <c:pt idx="5">
                  <c:v>1.43</c:v>
                </c:pt>
                <c:pt idx="10">
                  <c:v>1.3</c:v>
                </c:pt>
                <c:pt idx="15">
                  <c:v>1.25</c:v>
                </c:pt>
                <c:pt idx="20">
                  <c:v>1.2</c:v>
                </c:pt>
                <c:pt idx="25">
                  <c:v>1.1499999999999999</c:v>
                </c:pt>
                <c:pt idx="30">
                  <c:v>1.1000000000000001</c:v>
                </c:pt>
                <c:pt idx="35" formatCode="General">
                  <c:v>1.1499999999999999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A1-4B58-9B1B-EA76A3D891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0411976"/>
        <c:axId val="590412304"/>
      </c:scatterChart>
      <c:valAx>
        <c:axId val="590411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412304"/>
        <c:crosses val="autoZero"/>
        <c:crossBetween val="midCat"/>
      </c:valAx>
      <c:valAx>
        <c:axId val="59041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0411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 vs. Gain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658092738407699"/>
          <c:y val="0.17171286324635429"/>
          <c:w val="0.80053018372703411"/>
          <c:h val="0.6514432050160396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Offset!$B$1</c:f>
              <c:strCache>
                <c:ptCount val="1"/>
                <c:pt idx="0">
                  <c:v>Offset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Offset!$A$2:$A$48</c:f>
              <c:numCache>
                <c:formatCode>General</c:formatCode>
                <c:ptCount val="47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100</c:v>
                </c:pt>
                <c:pt idx="12">
                  <c:v>110</c:v>
                </c:pt>
                <c:pt idx="13">
                  <c:v>120</c:v>
                </c:pt>
                <c:pt idx="14">
                  <c:v>130</c:v>
                </c:pt>
                <c:pt idx="15">
                  <c:v>140</c:v>
                </c:pt>
                <c:pt idx="16">
                  <c:v>150</c:v>
                </c:pt>
                <c:pt idx="17">
                  <c:v>160</c:v>
                </c:pt>
                <c:pt idx="18">
                  <c:v>170</c:v>
                </c:pt>
                <c:pt idx="19">
                  <c:v>180</c:v>
                </c:pt>
                <c:pt idx="20">
                  <c:v>190</c:v>
                </c:pt>
                <c:pt idx="21">
                  <c:v>200</c:v>
                </c:pt>
                <c:pt idx="22">
                  <c:v>210</c:v>
                </c:pt>
                <c:pt idx="23">
                  <c:v>220</c:v>
                </c:pt>
                <c:pt idx="24">
                  <c:v>230</c:v>
                </c:pt>
                <c:pt idx="25">
                  <c:v>240</c:v>
                </c:pt>
                <c:pt idx="26">
                  <c:v>250</c:v>
                </c:pt>
                <c:pt idx="27">
                  <c:v>260</c:v>
                </c:pt>
                <c:pt idx="28">
                  <c:v>270</c:v>
                </c:pt>
                <c:pt idx="29">
                  <c:v>280</c:v>
                </c:pt>
                <c:pt idx="30">
                  <c:v>290</c:v>
                </c:pt>
                <c:pt idx="31">
                  <c:v>300</c:v>
                </c:pt>
                <c:pt idx="32">
                  <c:v>310</c:v>
                </c:pt>
                <c:pt idx="33">
                  <c:v>320</c:v>
                </c:pt>
                <c:pt idx="34">
                  <c:v>330</c:v>
                </c:pt>
                <c:pt idx="35">
                  <c:v>340</c:v>
                </c:pt>
                <c:pt idx="36">
                  <c:v>350</c:v>
                </c:pt>
                <c:pt idx="37">
                  <c:v>360</c:v>
                </c:pt>
                <c:pt idx="38">
                  <c:v>370</c:v>
                </c:pt>
                <c:pt idx="39">
                  <c:v>380</c:v>
                </c:pt>
                <c:pt idx="40">
                  <c:v>390</c:v>
                </c:pt>
                <c:pt idx="41">
                  <c:v>400</c:v>
                </c:pt>
                <c:pt idx="42">
                  <c:v>410</c:v>
                </c:pt>
                <c:pt idx="43">
                  <c:v>420</c:v>
                </c:pt>
                <c:pt idx="44">
                  <c:v>430</c:v>
                </c:pt>
                <c:pt idx="45">
                  <c:v>440</c:v>
                </c:pt>
                <c:pt idx="46">
                  <c:v>450</c:v>
                </c:pt>
              </c:numCache>
            </c:numRef>
          </c:xVal>
          <c:yVal>
            <c:numRef>
              <c:f>Offset!$B$2:$B$48</c:f>
              <c:numCache>
                <c:formatCode>0</c:formatCode>
                <c:ptCount val="47"/>
                <c:pt idx="0">
                  <c:v>7</c:v>
                </c:pt>
                <c:pt idx="5">
                  <c:v>9</c:v>
                </c:pt>
                <c:pt idx="10">
                  <c:v>13</c:v>
                </c:pt>
                <c:pt idx="11">
                  <c:v>9</c:v>
                </c:pt>
                <c:pt idx="16">
                  <c:v>10</c:v>
                </c:pt>
                <c:pt idx="21">
                  <c:v>12</c:v>
                </c:pt>
                <c:pt idx="26">
                  <c:v>18</c:v>
                </c:pt>
                <c:pt idx="31" formatCode="General">
                  <c:v>25</c:v>
                </c:pt>
                <c:pt idx="36" formatCode="General">
                  <c:v>30</c:v>
                </c:pt>
                <c:pt idx="41" formatCode="General">
                  <c:v>40</c:v>
                </c:pt>
                <c:pt idx="46" formatCode="General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41-4AFA-B2B7-880955ADA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0297423"/>
        <c:axId val="620303247"/>
      </c:scatterChart>
      <c:valAx>
        <c:axId val="620297423"/>
        <c:scaling>
          <c:orientation val="minMax"/>
          <c:max val="4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Gain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303247"/>
        <c:crosses val="autoZero"/>
        <c:crossBetween val="midCat"/>
      </c:valAx>
      <c:valAx>
        <c:axId val="620303247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Offset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2974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Offset, Gain 0 to 100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Offset!$L$1</c:f>
              <c:strCache>
                <c:ptCount val="1"/>
                <c:pt idx="0">
                  <c:v>Offset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-0.13838385826771654"/>
                  <c:y val="-9.6759259259259264E-3"/>
                </c:manualLayout>
              </c:layout>
              <c:numFmt formatCode="0.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Offset!$K$2:$K$12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Offset!$L$2:$L$12</c:f>
              <c:numCache>
                <c:formatCode>0</c:formatCode>
                <c:ptCount val="11"/>
                <c:pt idx="0">
                  <c:v>7</c:v>
                </c:pt>
                <c:pt idx="5">
                  <c:v>9</c:v>
                </c:pt>
                <c:pt idx="10">
                  <c:v>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FC0-437E-8A3D-30E07A9E7C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6521256"/>
        <c:axId val="506521584"/>
      </c:scatterChart>
      <c:valAx>
        <c:axId val="506521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521584"/>
        <c:crosses val="autoZero"/>
        <c:crossBetween val="midCat"/>
      </c:valAx>
      <c:valAx>
        <c:axId val="506521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6521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Offset, Gain 100 to 450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-0.25325328083989501"/>
                  <c:y val="5.51388888888888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Offset!$K$17:$K$30</c:f>
              <c:numCache>
                <c:formatCode>General</c:formatCode>
                <c:ptCount val="14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  <c:pt idx="3">
                  <c:v>250</c:v>
                </c:pt>
                <c:pt idx="4">
                  <c:v>300</c:v>
                </c:pt>
                <c:pt idx="5">
                  <c:v>350</c:v>
                </c:pt>
                <c:pt idx="6">
                  <c:v>400</c:v>
                </c:pt>
                <c:pt idx="7">
                  <c:v>450</c:v>
                </c:pt>
              </c:numCache>
            </c:numRef>
          </c:xVal>
          <c:yVal>
            <c:numRef>
              <c:f>Offset!$L$17:$L$30</c:f>
              <c:numCache>
                <c:formatCode>0</c:formatCode>
                <c:ptCount val="14"/>
                <c:pt idx="0">
                  <c:v>9</c:v>
                </c:pt>
                <c:pt idx="1">
                  <c:v>10</c:v>
                </c:pt>
                <c:pt idx="2">
                  <c:v>12</c:v>
                </c:pt>
                <c:pt idx="3">
                  <c:v>18</c:v>
                </c:pt>
                <c:pt idx="4">
                  <c:v>25</c:v>
                </c:pt>
                <c:pt idx="5">
                  <c:v>30</c:v>
                </c:pt>
                <c:pt idx="6">
                  <c:v>40</c:v>
                </c:pt>
                <c:pt idx="7">
                  <c:v>50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71-4000-8982-EA5FDCD85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6231184"/>
        <c:axId val="646231512"/>
      </c:scatterChart>
      <c:valAx>
        <c:axId val="646231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231512"/>
        <c:crosses val="autoZero"/>
        <c:crossBetween val="midCat"/>
      </c:valAx>
      <c:valAx>
        <c:axId val="646231512"/>
        <c:scaling>
          <c:orientation val="minMax"/>
          <c:min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6231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image" Target="../media/image4.png"/><Relationship Id="rId4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image" Target="../media/image5.png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123485</xdr:colOff>
      <xdr:row>18</xdr:row>
      <xdr:rowOff>114300</xdr:rowOff>
    </xdr:from>
    <xdr:to>
      <xdr:col>5</xdr:col>
      <xdr:colOff>128962</xdr:colOff>
      <xdr:row>33</xdr:row>
      <xdr:rowOff>95250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>
          <a:off x="4447835" y="3781425"/>
          <a:ext cx="5477" cy="30670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33</xdr:row>
      <xdr:rowOff>85725</xdr:rowOff>
    </xdr:from>
    <xdr:to>
      <xdr:col>6</xdr:col>
      <xdr:colOff>904875</xdr:colOff>
      <xdr:row>33</xdr:row>
      <xdr:rowOff>85725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62E1357C-BEC6-4B79-B246-B8B9FAE3B8BB}"/>
            </a:ext>
          </a:extLst>
        </xdr:cNvPr>
        <xdr:cNvCxnSpPr/>
      </xdr:nvCxnSpPr>
      <xdr:spPr>
        <a:xfrm>
          <a:off x="4438650" y="6829425"/>
          <a:ext cx="10477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952502</xdr:colOff>
      <xdr:row>5</xdr:row>
      <xdr:rowOff>142875</xdr:rowOff>
    </xdr:from>
    <xdr:to>
      <xdr:col>5</xdr:col>
      <xdr:colOff>142875</xdr:colOff>
      <xdr:row>5</xdr:row>
      <xdr:rowOff>142875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053E63E9-DF3B-4F2F-979C-BA2C6F42BD7A}"/>
            </a:ext>
          </a:extLst>
        </xdr:cNvPr>
        <xdr:cNvCxnSpPr/>
      </xdr:nvCxnSpPr>
      <xdr:spPr>
        <a:xfrm flipH="1">
          <a:off x="3838577" y="1333500"/>
          <a:ext cx="628648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133350</xdr:colOff>
      <xdr:row>18</xdr:row>
      <xdr:rowOff>114300</xdr:rowOff>
    </xdr:from>
    <xdr:to>
      <xdr:col>10</xdr:col>
      <xdr:colOff>409575</xdr:colOff>
      <xdr:row>18</xdr:row>
      <xdr:rowOff>114300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DC13BD9E-40BD-4033-A1A0-7A4BD4C7BF1C}"/>
            </a:ext>
          </a:extLst>
        </xdr:cNvPr>
        <xdr:cNvCxnSpPr/>
      </xdr:nvCxnSpPr>
      <xdr:spPr>
        <a:xfrm>
          <a:off x="4457700" y="3781425"/>
          <a:ext cx="4657725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971550</xdr:colOff>
      <xdr:row>11</xdr:row>
      <xdr:rowOff>85725</xdr:rowOff>
    </xdr:from>
    <xdr:to>
      <xdr:col>5</xdr:col>
      <xdr:colOff>152400</xdr:colOff>
      <xdr:row>11</xdr:row>
      <xdr:rowOff>85725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8EC328BF-DD10-4FFB-AAEB-A16876DA01EA}"/>
            </a:ext>
          </a:extLst>
        </xdr:cNvPr>
        <xdr:cNvCxnSpPr/>
      </xdr:nvCxnSpPr>
      <xdr:spPr>
        <a:xfrm flipH="1">
          <a:off x="3857625" y="2419350"/>
          <a:ext cx="619125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399710</xdr:colOff>
      <xdr:row>18</xdr:row>
      <xdr:rowOff>114300</xdr:rowOff>
    </xdr:from>
    <xdr:to>
      <xdr:col>10</xdr:col>
      <xdr:colOff>399710</xdr:colOff>
      <xdr:row>21</xdr:row>
      <xdr:rowOff>142875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ECC85EB9-0A9A-49DA-8C30-6929B6E07E29}"/>
            </a:ext>
          </a:extLst>
        </xdr:cNvPr>
        <xdr:cNvCxnSpPr/>
      </xdr:nvCxnSpPr>
      <xdr:spPr>
        <a:xfrm>
          <a:off x="9105560" y="3781425"/>
          <a:ext cx="0" cy="68580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125244</xdr:colOff>
      <xdr:row>11</xdr:row>
      <xdr:rowOff>84509</xdr:rowOff>
    </xdr:from>
    <xdr:to>
      <xdr:col>5</xdr:col>
      <xdr:colOff>143170</xdr:colOff>
      <xdr:row>18</xdr:row>
      <xdr:rowOff>113084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17105163-1ED3-4855-9071-7D90BAACCCF5}"/>
            </a:ext>
          </a:extLst>
        </xdr:cNvPr>
        <xdr:cNvCxnSpPr/>
      </xdr:nvCxnSpPr>
      <xdr:spPr>
        <a:xfrm flipV="1">
          <a:off x="4449999" y="2415094"/>
          <a:ext cx="17926" cy="13620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138488</xdr:colOff>
      <xdr:row>5</xdr:row>
      <xdr:rowOff>142875</xdr:rowOff>
    </xdr:from>
    <xdr:to>
      <xdr:col>5</xdr:col>
      <xdr:colOff>138489</xdr:colOff>
      <xdr:row>11</xdr:row>
      <xdr:rowOff>85117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BBCC090C-6C2D-4887-9580-76116CAB2AC1}"/>
            </a:ext>
          </a:extLst>
        </xdr:cNvPr>
        <xdr:cNvCxnSpPr/>
      </xdr:nvCxnSpPr>
      <xdr:spPr>
        <a:xfrm flipH="1">
          <a:off x="4463243" y="1330460"/>
          <a:ext cx="1" cy="1085242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110444</xdr:colOff>
      <xdr:row>13</xdr:row>
      <xdr:rowOff>40140</xdr:rowOff>
    </xdr:from>
    <xdr:to>
      <xdr:col>11</xdr:col>
      <xdr:colOff>521833</xdr:colOff>
      <xdr:row>22</xdr:row>
      <xdr:rowOff>107269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569686</xdr:colOff>
      <xdr:row>13</xdr:row>
      <xdr:rowOff>33564</xdr:rowOff>
    </xdr:from>
    <xdr:to>
      <xdr:col>18</xdr:col>
      <xdr:colOff>349250</xdr:colOff>
      <xdr:row>22</xdr:row>
      <xdr:rowOff>112939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66675</xdr:colOff>
      <xdr:row>5</xdr:row>
      <xdr:rowOff>38100</xdr:rowOff>
    </xdr:from>
    <xdr:to>
      <xdr:col>2</xdr:col>
      <xdr:colOff>2514109</xdr:colOff>
      <xdr:row>5</xdr:row>
      <xdr:rowOff>647624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EFE8CEA-DB25-4E11-B90F-5A078D4C5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71825" y="1123950"/>
          <a:ext cx="3923809" cy="6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152400</xdr:colOff>
      <xdr:row>4</xdr:row>
      <xdr:rowOff>66675</xdr:rowOff>
    </xdr:from>
    <xdr:to>
      <xdr:col>44</xdr:col>
      <xdr:colOff>395289</xdr:colOff>
      <xdr:row>42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0</xdr:rowOff>
    </xdr:from>
    <xdr:to>
      <xdr:col>9</xdr:col>
      <xdr:colOff>501198</xdr:colOff>
      <xdr:row>11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E60F6D2-855F-4DA8-843B-9B97DF4F3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0"/>
          <a:ext cx="5787573" cy="2095500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11</xdr:row>
      <xdr:rowOff>28575</xdr:rowOff>
    </xdr:from>
    <xdr:to>
      <xdr:col>9</xdr:col>
      <xdr:colOff>495300</xdr:colOff>
      <xdr:row>21</xdr:row>
      <xdr:rowOff>43925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241C13E-4747-40E1-993D-4C746793A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50" y="2124075"/>
          <a:ext cx="5772150" cy="1920350"/>
        </a:xfrm>
        <a:prstGeom prst="rect">
          <a:avLst/>
        </a:prstGeom>
      </xdr:spPr>
    </xdr:pic>
    <xdr:clientData/>
  </xdr:twoCellAnchor>
  <xdr:twoCellAnchor editAs="oneCell">
    <xdr:from>
      <xdr:col>10</xdr:col>
      <xdr:colOff>333705</xdr:colOff>
      <xdr:row>0</xdr:row>
      <xdr:rowOff>66675</xdr:rowOff>
    </xdr:from>
    <xdr:to>
      <xdr:col>19</xdr:col>
      <xdr:colOff>601947</xdr:colOff>
      <xdr:row>10</xdr:row>
      <xdr:rowOff>76200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87206CF-B88B-42B9-AB1C-3031A7C8A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29705" y="66675"/>
          <a:ext cx="5754642" cy="1914525"/>
        </a:xfrm>
        <a:prstGeom prst="rect">
          <a:avLst/>
        </a:prstGeom>
      </xdr:spPr>
    </xdr:pic>
    <xdr:clientData/>
  </xdr:twoCellAnchor>
  <xdr:twoCellAnchor editAs="oneCell">
    <xdr:from>
      <xdr:col>10</xdr:col>
      <xdr:colOff>323850</xdr:colOff>
      <xdr:row>10</xdr:row>
      <xdr:rowOff>180974</xdr:rowOff>
    </xdr:from>
    <xdr:to>
      <xdr:col>19</xdr:col>
      <xdr:colOff>600075</xdr:colOff>
      <xdr:row>23</xdr:row>
      <xdr:rowOff>49343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EED8E94-4F6B-499E-B062-D955CB62D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19850" y="2085974"/>
          <a:ext cx="5762625" cy="2344869"/>
        </a:xfrm>
        <a:prstGeom prst="rect">
          <a:avLst/>
        </a:prstGeom>
      </xdr:spPr>
    </xdr:pic>
    <xdr:clientData/>
  </xdr:twoCellAnchor>
  <xdr:twoCellAnchor editAs="oneCell">
    <xdr:from>
      <xdr:col>0</xdr:col>
      <xdr:colOff>526596</xdr:colOff>
      <xdr:row>24</xdr:row>
      <xdr:rowOff>35379</xdr:rowOff>
    </xdr:from>
    <xdr:to>
      <xdr:col>11</xdr:col>
      <xdr:colOff>208751</xdr:colOff>
      <xdr:row>49</xdr:row>
      <xdr:rowOff>158593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C8269DB-41D9-4494-BF6C-BD42D37CA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6596" y="4607379"/>
          <a:ext cx="6417691" cy="488571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266702</xdr:colOff>
      <xdr:row>2</xdr:row>
      <xdr:rowOff>105104</xdr:rowOff>
    </xdr:from>
    <xdr:to>
      <xdr:col>12</xdr:col>
      <xdr:colOff>262759</xdr:colOff>
      <xdr:row>13</xdr:row>
      <xdr:rowOff>57150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808ADAA-139D-4AAA-8B56-C8A46C910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9443" y="486104"/>
          <a:ext cx="5494282" cy="2047546"/>
        </a:xfrm>
        <a:prstGeom prst="rect">
          <a:avLst/>
        </a:prstGeom>
      </xdr:spPr>
    </xdr:pic>
    <xdr:clientData/>
  </xdr:twoCellAnchor>
  <xdr:twoCellAnchor>
    <xdr:from>
      <xdr:col>4</xdr:col>
      <xdr:colOff>111674</xdr:colOff>
      <xdr:row>1</xdr:row>
      <xdr:rowOff>114299</xdr:rowOff>
    </xdr:from>
    <xdr:to>
      <xdr:col>12</xdr:col>
      <xdr:colOff>216775</xdr:colOff>
      <xdr:row>14</xdr:row>
      <xdr:rowOff>98534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CCAA53-0077-4BDB-BC95-CCA4B6F4C1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27261</xdr:colOff>
      <xdr:row>0</xdr:row>
      <xdr:rowOff>183931</xdr:rowOff>
    </xdr:from>
    <xdr:to>
      <xdr:col>11</xdr:col>
      <xdr:colOff>466397</xdr:colOff>
      <xdr:row>11</xdr:row>
      <xdr:rowOff>72259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1D8B5D9-7815-47D6-BDE1-95779E0252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6485" y="183931"/>
          <a:ext cx="5326446" cy="1983828"/>
        </a:xfrm>
        <a:prstGeom prst="rect">
          <a:avLst/>
        </a:prstGeom>
      </xdr:spPr>
    </xdr:pic>
    <xdr:clientData/>
  </xdr:twoCellAnchor>
  <xdr:twoCellAnchor>
    <xdr:from>
      <xdr:col>3</xdr:col>
      <xdr:colOff>459829</xdr:colOff>
      <xdr:row>1</xdr:row>
      <xdr:rowOff>32844</xdr:rowOff>
    </xdr:from>
    <xdr:to>
      <xdr:col>11</xdr:col>
      <xdr:colOff>433553</xdr:colOff>
      <xdr:row>11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5325946-EFDF-4610-B89F-8BCC196152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99391</xdr:colOff>
      <xdr:row>2</xdr:row>
      <xdr:rowOff>99391</xdr:rowOff>
    </xdr:from>
    <xdr:to>
      <xdr:col>12</xdr:col>
      <xdr:colOff>354381</xdr:colOff>
      <xdr:row>13</xdr:row>
      <xdr:rowOff>66261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A4026D8-89A5-4383-AFEF-556A66203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70043" y="480391"/>
          <a:ext cx="5771208" cy="2062370"/>
        </a:xfrm>
        <a:prstGeom prst="rect">
          <a:avLst/>
        </a:prstGeom>
      </xdr:spPr>
    </xdr:pic>
    <xdr:clientData/>
  </xdr:twoCellAnchor>
  <xdr:twoCellAnchor>
    <xdr:from>
      <xdr:col>3</xdr:col>
      <xdr:colOff>528637</xdr:colOff>
      <xdr:row>1</xdr:row>
      <xdr:rowOff>130969</xdr:rowOff>
    </xdr:from>
    <xdr:to>
      <xdr:col>12</xdr:col>
      <xdr:colOff>298173</xdr:colOff>
      <xdr:row>13</xdr:row>
      <xdr:rowOff>82826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E58137-0419-466A-B0C8-F3C01277E1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20706</xdr:colOff>
      <xdr:row>1</xdr:row>
      <xdr:rowOff>81998</xdr:rowOff>
    </xdr:from>
    <xdr:to>
      <xdr:col>20</xdr:col>
      <xdr:colOff>302315</xdr:colOff>
      <xdr:row>15</xdr:row>
      <xdr:rowOff>158198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A728360-C659-4D5F-9A83-6D8D1D62FB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12423</xdr:colOff>
      <xdr:row>14</xdr:row>
      <xdr:rowOff>65432</xdr:rowOff>
    </xdr:from>
    <xdr:to>
      <xdr:col>11</xdr:col>
      <xdr:colOff>294031</xdr:colOff>
      <xdr:row>28</xdr:row>
      <xdr:rowOff>141632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5028981-4DF3-4797-B306-8A4BC11E9F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4</xdr:row>
      <xdr:rowOff>85725</xdr:rowOff>
    </xdr:from>
    <xdr:to>
      <xdr:col>12</xdr:col>
      <xdr:colOff>547687</xdr:colOff>
      <xdr:row>17</xdr:row>
      <xdr:rowOff>19050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7C9FC6E-523E-44E9-A20C-4C20A130C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85963" y="847725"/>
          <a:ext cx="6086474" cy="2409825"/>
        </a:xfrm>
        <a:prstGeom prst="rect">
          <a:avLst/>
        </a:prstGeom>
      </xdr:spPr>
    </xdr:pic>
    <xdr:clientData/>
  </xdr:twoCellAnchor>
  <xdr:twoCellAnchor>
    <xdr:from>
      <xdr:col>3</xdr:col>
      <xdr:colOff>461961</xdr:colOff>
      <xdr:row>2</xdr:row>
      <xdr:rowOff>73818</xdr:rowOff>
    </xdr:from>
    <xdr:to>
      <xdr:col>12</xdr:col>
      <xdr:colOff>469106</xdr:colOff>
      <xdr:row>15</xdr:row>
      <xdr:rowOff>53577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BB20084-2E74-4C17-9015-E8535F858B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309562</xdr:colOff>
      <xdr:row>2</xdr:row>
      <xdr:rowOff>38100</xdr:rowOff>
    </xdr:from>
    <xdr:to>
      <xdr:col>21</xdr:col>
      <xdr:colOff>4762</xdr:colOff>
      <xdr:row>16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6C96C8E-A7AC-4B67-BB5E-D6FAFC84EC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423862</xdr:colOff>
      <xdr:row>17</xdr:row>
      <xdr:rowOff>104775</xdr:rowOff>
    </xdr:from>
    <xdr:to>
      <xdr:col>11</xdr:col>
      <xdr:colOff>119062</xdr:colOff>
      <xdr:row>31</xdr:row>
      <xdr:rowOff>180975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3653E1-F8CC-4454-9783-08894846C8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0</xdr:row>
      <xdr:rowOff>120650</xdr:rowOff>
    </xdr:from>
    <xdr:to>
      <xdr:col>9</xdr:col>
      <xdr:colOff>508000</xdr:colOff>
      <xdr:row>15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195262</xdr:colOff>
      <xdr:row>0</xdr:row>
      <xdr:rowOff>0</xdr:rowOff>
    </xdr:from>
    <xdr:to>
      <xdr:col>19</xdr:col>
      <xdr:colOff>500062</xdr:colOff>
      <xdr:row>14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9AAE0A-0848-455C-AEBE-E1AACEC267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195262</xdr:colOff>
      <xdr:row>16</xdr:row>
      <xdr:rowOff>0</xdr:rowOff>
    </xdr:from>
    <xdr:to>
      <xdr:col>19</xdr:col>
      <xdr:colOff>500062</xdr:colOff>
      <xdr:row>30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255792-F7DA-491A-BF2D-7E072A556F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54"/>
  <sheetViews>
    <sheetView tabSelected="1" topLeftCell="A4" zoomScale="85" zoomScaleNormal="85" workbookViewId="0">
      <selection activeCell="B4" sqref="B4:E4"/>
    </sheetView>
  </sheetViews>
  <sheetFormatPr defaultRowHeight="14.5" x14ac:dyDescent="0.35"/>
  <cols>
    <col min="1" max="1" width="2" customWidth="1"/>
    <col min="2" max="2" width="8.54296875" customWidth="1"/>
    <col min="3" max="3" width="21.54296875" customWidth="1"/>
    <col min="4" max="4" width="11.08984375" customWidth="1"/>
    <col min="5" max="5" width="21.54296875" customWidth="1"/>
    <col min="6" max="6" width="3.90625" customWidth="1"/>
    <col min="7" max="7" width="25" customWidth="1"/>
    <col min="8" max="11" width="12.36328125" customWidth="1"/>
    <col min="12" max="12" width="2.453125" customWidth="1"/>
    <col min="16" max="16" width="16.08984375" customWidth="1"/>
    <col min="17" max="25" width="9.36328125" customWidth="1"/>
  </cols>
  <sheetData>
    <row r="1" spans="2:17" ht="22" customHeight="1" x14ac:dyDescent="0.55000000000000004">
      <c r="B1" s="127" t="s">
        <v>116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</row>
    <row r="2" spans="2:17" ht="22" customHeight="1" x14ac:dyDescent="0.45">
      <c r="B2" s="142" t="s">
        <v>146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2" t="s">
        <v>145</v>
      </c>
    </row>
    <row r="3" spans="2:17" ht="22" customHeight="1" thickBot="1" x14ac:dyDescent="0.6">
      <c r="B3" t="s">
        <v>147</v>
      </c>
      <c r="C3" s="12"/>
      <c r="D3" s="12"/>
      <c r="E3" s="12"/>
      <c r="G3" s="108"/>
      <c r="H3" s="110"/>
      <c r="J3" s="108"/>
    </row>
    <row r="4" spans="2:17" ht="22" customHeight="1" thickBot="1" x14ac:dyDescent="0.5">
      <c r="B4" s="128" t="s">
        <v>156</v>
      </c>
      <c r="C4" s="129"/>
      <c r="D4" s="129"/>
      <c r="E4" s="130"/>
      <c r="F4" s="12"/>
      <c r="G4" s="128" t="s">
        <v>149</v>
      </c>
      <c r="H4" s="129"/>
      <c r="I4" s="129"/>
      <c r="J4" s="129"/>
      <c r="K4" s="130"/>
      <c r="M4" s="139" t="s">
        <v>148</v>
      </c>
      <c r="N4" s="140"/>
      <c r="O4" s="140"/>
      <c r="P4" s="140"/>
      <c r="Q4" s="141"/>
    </row>
    <row r="5" spans="2:17" ht="15" thickBot="1" x14ac:dyDescent="0.4">
      <c r="B5" s="61" t="s">
        <v>64</v>
      </c>
      <c r="C5" s="2"/>
      <c r="D5" s="62"/>
      <c r="E5" s="3"/>
      <c r="G5" s="136" t="s">
        <v>102</v>
      </c>
      <c r="H5" s="137"/>
      <c r="I5" s="137"/>
      <c r="J5" s="137"/>
      <c r="K5" s="138"/>
      <c r="M5" s="133" t="s">
        <v>117</v>
      </c>
      <c r="N5" s="134"/>
      <c r="O5" s="134"/>
      <c r="P5" s="134"/>
      <c r="Q5" s="135"/>
    </row>
    <row r="6" spans="2:17" x14ac:dyDescent="0.35">
      <c r="B6" s="4"/>
      <c r="C6" s="63" t="s">
        <v>54</v>
      </c>
      <c r="D6" s="126">
        <f>H34</f>
        <v>20.803386495011182</v>
      </c>
      <c r="E6" s="6" t="s">
        <v>55</v>
      </c>
      <c r="G6" s="74" t="s">
        <v>87</v>
      </c>
      <c r="H6" s="2"/>
      <c r="I6" s="2"/>
      <c r="J6" s="2"/>
      <c r="K6" s="3"/>
      <c r="M6" s="1"/>
      <c r="N6" s="2"/>
      <c r="O6" s="2"/>
      <c r="P6" s="131" t="s">
        <v>76</v>
      </c>
      <c r="Q6" s="132"/>
    </row>
    <row r="7" spans="2:17" x14ac:dyDescent="0.35">
      <c r="B7" s="4"/>
      <c r="C7" s="63"/>
      <c r="D7" s="68"/>
      <c r="E7" s="6"/>
      <c r="G7" s="4" t="s">
        <v>88</v>
      </c>
      <c r="H7" s="69">
        <v>806</v>
      </c>
      <c r="I7" s="71" t="s">
        <v>89</v>
      </c>
      <c r="J7" s="5"/>
      <c r="K7" s="6"/>
      <c r="M7" s="52" t="s">
        <v>72</v>
      </c>
      <c r="N7" s="46" t="s">
        <v>73</v>
      </c>
      <c r="O7" s="46" t="s">
        <v>74</v>
      </c>
      <c r="P7" s="46" t="s">
        <v>80</v>
      </c>
      <c r="Q7" s="53" t="s">
        <v>75</v>
      </c>
    </row>
    <row r="8" spans="2:17" x14ac:dyDescent="0.35">
      <c r="B8" s="4"/>
      <c r="C8" s="63" t="s">
        <v>56</v>
      </c>
      <c r="D8" s="14">
        <v>0.115</v>
      </c>
      <c r="E8" s="6" t="s">
        <v>10</v>
      </c>
      <c r="G8" s="4" t="s">
        <v>90</v>
      </c>
      <c r="H8" s="69">
        <v>598</v>
      </c>
      <c r="I8" s="71" t="s">
        <v>91</v>
      </c>
      <c r="J8" s="5"/>
      <c r="K8" s="6"/>
      <c r="M8" s="52"/>
      <c r="N8" s="112" t="s">
        <v>68</v>
      </c>
      <c r="O8" s="112"/>
      <c r="P8" s="112"/>
      <c r="Q8" s="53"/>
    </row>
    <row r="9" spans="2:17" x14ac:dyDescent="0.35">
      <c r="B9" s="4"/>
      <c r="C9" s="63" t="s">
        <v>57</v>
      </c>
      <c r="D9" s="14">
        <v>0.64300000000000002</v>
      </c>
      <c r="E9" s="6" t="s">
        <v>10</v>
      </c>
      <c r="G9" s="4" t="s">
        <v>92</v>
      </c>
      <c r="H9" s="69">
        <v>595</v>
      </c>
      <c r="I9" s="71" t="s">
        <v>93</v>
      </c>
      <c r="J9" s="5"/>
      <c r="K9" s="6"/>
      <c r="M9" s="11">
        <v>0</v>
      </c>
      <c r="N9" s="83">
        <f>LOOKUP(M9,'ASI533-specs-DR-SNR'!$A$5:$A$50,'ASI533-specs-DR-SNR'!$O$5:$O$50)</f>
        <v>5.8914148791761551</v>
      </c>
      <c r="O9" s="54">
        <f>$D$21/N9</f>
        <v>40.737243076923001</v>
      </c>
      <c r="P9" s="55">
        <f>LOOKUP(M9,'ASI533-specs-DR-SNR'!$A$5:$A$50,'ASI533-specs-DR-SNR'!$AC$5:$AC$50)</f>
        <v>14.558121323463361</v>
      </c>
      <c r="Q9" s="56">
        <f>LOOKUP(M9,'ASI533-specs-DR-SNR'!$A$5:$A$50,'ASI533-specs-DR-SNR'!$AE$5:$AE50)</f>
        <v>21.739074773940295</v>
      </c>
    </row>
    <row r="10" spans="2:17" ht="15" thickBot="1" x14ac:dyDescent="0.4">
      <c r="B10" s="4"/>
      <c r="C10" s="63" t="s">
        <v>120</v>
      </c>
      <c r="D10" s="100">
        <f>D9/D8</f>
        <v>5.5913043478260871</v>
      </c>
      <c r="E10" s="6"/>
      <c r="G10" s="7" t="s">
        <v>94</v>
      </c>
      <c r="H10" s="115">
        <v>120</v>
      </c>
      <c r="I10" s="75" t="s">
        <v>101</v>
      </c>
      <c r="J10" s="8"/>
      <c r="K10" s="9"/>
      <c r="M10" s="11">
        <f>M9+10</f>
        <v>10</v>
      </c>
      <c r="N10" s="83">
        <f>LOOKUP(M10,'ASI533-specs-DR-SNR'!$A$5:$A$50,'ASI533-specs-DR-SNR'!$O$5:$O$50)</f>
        <v>5.6865743579177108</v>
      </c>
      <c r="O10" s="54">
        <f t="shared" ref="O10:O44" si="0">$D$21/N10</f>
        <v>42.20467101882447</v>
      </c>
      <c r="P10" s="55">
        <f>LOOKUP(M10,'ASI533-specs-DR-SNR'!$A$5:$A$50,'ASI533-specs-DR-SNR'!$AC$5:$AC$50)</f>
        <v>14.445357990474216</v>
      </c>
      <c r="Q10" s="56">
        <f ca="1">LOOKUP(M10,'ASI533-specs-DR-SNR'!$A$5:$A$50,'ASI533-specs-DR-SNR'!$AE$5:$AE51)</f>
        <v>21.739074773940295</v>
      </c>
    </row>
    <row r="11" spans="2:17" ht="15" thickBot="1" x14ac:dyDescent="0.4">
      <c r="B11" s="4"/>
      <c r="C11" s="63" t="s">
        <v>58</v>
      </c>
      <c r="D11" s="14">
        <v>3.76</v>
      </c>
      <c r="E11" s="6" t="s">
        <v>59</v>
      </c>
      <c r="G11" s="4"/>
      <c r="H11" s="72"/>
      <c r="I11" s="71"/>
      <c r="J11" s="5"/>
      <c r="K11" s="6"/>
      <c r="M11" s="11">
        <f t="shared" ref="M11:M54" si="1">M10+10</f>
        <v>20</v>
      </c>
      <c r="N11" s="83">
        <f>LOOKUP(M11,'ASI533-specs-DR-SNR'!$A$5:$A$50,'ASI533-specs-DR-SNR'!$O$5:$O$50)</f>
        <v>5.4888570801548351</v>
      </c>
      <c r="O11" s="54">
        <f t="shared" si="0"/>
        <v>43.724949747321503</v>
      </c>
      <c r="P11" s="55">
        <f>LOOKUP(M11,'ASI533-specs-DR-SNR'!$A$5:$A$50,'ASI533-specs-DR-SNR'!$AC$5:$AC$50)</f>
        <v>14.332529291826248</v>
      </c>
      <c r="Q11" s="56">
        <f ca="1">LOOKUP(M11,'ASI533-specs-DR-SNR'!$A$5:$A$50,'ASI533-specs-DR-SNR'!$AE$5:$AE52)</f>
        <v>21.739074773940295</v>
      </c>
    </row>
    <row r="12" spans="2:17" x14ac:dyDescent="0.35">
      <c r="B12" s="4"/>
      <c r="C12" s="63" t="s">
        <v>77</v>
      </c>
      <c r="D12" s="123">
        <f>K24</f>
        <v>6.2060643749999953E-3</v>
      </c>
      <c r="E12" s="6" t="s">
        <v>1</v>
      </c>
      <c r="G12" s="116" t="s">
        <v>108</v>
      </c>
      <c r="H12" s="117"/>
      <c r="I12" s="118"/>
      <c r="J12" s="2"/>
      <c r="K12" s="3"/>
      <c r="M12" s="11">
        <f t="shared" si="1"/>
        <v>30</v>
      </c>
      <c r="N12" s="83">
        <f>LOOKUP(M12,'ASI533-specs-DR-SNR'!$A$5:$A$50,'ASI533-specs-DR-SNR'!$O$5:$O$50)</f>
        <v>5.2980756361455752</v>
      </c>
      <c r="O12" s="54">
        <f t="shared" si="0"/>
        <v>45.299466538873986</v>
      </c>
      <c r="P12" s="55">
        <f>LOOKUP(M12,'ASI533-specs-DR-SNR'!$A$5:$A$50,'ASI533-specs-DR-SNR'!$AC$5:$AC$50)</f>
        <v>14.219616194508333</v>
      </c>
      <c r="Q12" s="56">
        <f ca="1">LOOKUP(M12,'ASI533-specs-DR-SNR'!$A$5:$A$50,'ASI533-specs-DR-SNR'!$AE$5:$AE53)</f>
        <v>21.739074773940292</v>
      </c>
    </row>
    <row r="13" spans="2:17" ht="15" thickBot="1" x14ac:dyDescent="0.4">
      <c r="B13" s="11" t="s">
        <v>121</v>
      </c>
      <c r="C13" s="63"/>
      <c r="D13" s="68"/>
      <c r="E13" s="6"/>
      <c r="G13" s="4" t="s">
        <v>88</v>
      </c>
      <c r="H13" s="113">
        <f>H7*(2^14/2^16)</f>
        <v>201.5</v>
      </c>
      <c r="I13" s="71" t="s">
        <v>89</v>
      </c>
      <c r="J13" s="5"/>
      <c r="K13" s="6"/>
      <c r="M13" s="11">
        <f t="shared" si="1"/>
        <v>40</v>
      </c>
      <c r="N13" s="83">
        <f>LOOKUP(M13,'ASI533-specs-DR-SNR'!$A$5:$A$50,'ASI533-specs-DR-SNR'!$O$5:$O$50)</f>
        <v>5.1140459627505113</v>
      </c>
      <c r="O13" s="54">
        <f t="shared" si="0"/>
        <v>46.929574303418988</v>
      </c>
      <c r="P13" s="55">
        <f>LOOKUP(M13,'ASI533-specs-DR-SNR'!$A$5:$A$50,'ASI533-specs-DR-SNR'!$AC$5:$AC$50)</f>
        <v>14.106598395180056</v>
      </c>
      <c r="Q13" s="56">
        <f ca="1">LOOKUP(M13,'ASI533-specs-DR-SNR'!$A$5:$A$50,'ASI533-specs-DR-SNR'!$AE$5:$AE54)</f>
        <v>21.739074773940299</v>
      </c>
    </row>
    <row r="14" spans="2:17" ht="15" thickBot="1" x14ac:dyDescent="0.4">
      <c r="B14" s="111" t="s">
        <v>126</v>
      </c>
      <c r="C14" s="63" t="s">
        <v>69</v>
      </c>
      <c r="D14" s="120">
        <f>LOOKUP(B14,Filters!A2:C23,Filters!B2:B23)</f>
        <v>550</v>
      </c>
      <c r="E14" s="6" t="s">
        <v>60</v>
      </c>
      <c r="G14" s="4" t="s">
        <v>90</v>
      </c>
      <c r="H14" s="114">
        <f>H8*(2^14/2^16)</f>
        <v>149.5</v>
      </c>
      <c r="I14" s="71" t="s">
        <v>91</v>
      </c>
      <c r="J14" s="5"/>
      <c r="K14" s="6"/>
      <c r="M14" s="11">
        <f t="shared" si="1"/>
        <v>50</v>
      </c>
      <c r="N14" s="83">
        <f>LOOKUP(M14,'ASI533-specs-DR-SNR'!$A$5:$A$50,'ASI533-specs-DR-SNR'!$O$5:$O$50)</f>
        <v>4.9365873434327536</v>
      </c>
      <c r="O14" s="54">
        <f t="shared" si="0"/>
        <v>48.6165813148788</v>
      </c>
      <c r="P14" s="55">
        <f>LOOKUP(M14,'ASI533-specs-DR-SNR'!$A$5:$A$50,'ASI533-specs-DR-SNR'!$AC$5:$AC$50)</f>
        <v>13.993454204038498</v>
      </c>
      <c r="Q14" s="56">
        <f ca="1">LOOKUP(M14,'ASI533-specs-DR-SNR'!$A$5:$A$50,'ASI533-specs-DR-SNR'!$AE$5:$AE55)</f>
        <v>21.739074773940292</v>
      </c>
    </row>
    <row r="15" spans="2:17" ht="15" thickBot="1" x14ac:dyDescent="0.4">
      <c r="B15" s="4"/>
      <c r="C15" s="63" t="s">
        <v>61</v>
      </c>
      <c r="D15" s="120">
        <f>LOOKUP(B14,Filters!A2:C23,Filters!C2:C23)</f>
        <v>100</v>
      </c>
      <c r="E15" s="6" t="s">
        <v>60</v>
      </c>
      <c r="G15" s="7" t="s">
        <v>92</v>
      </c>
      <c r="H15" s="119">
        <f>H9*(2^14/2^16)</f>
        <v>148.75</v>
      </c>
      <c r="I15" s="75" t="s">
        <v>93</v>
      </c>
      <c r="J15" s="8"/>
      <c r="K15" s="9"/>
      <c r="M15" s="11">
        <f t="shared" si="1"/>
        <v>60</v>
      </c>
      <c r="N15" s="83">
        <f>LOOKUP(M15,'ASI533-specs-DR-SNR'!$A$5:$A$50,'ASI533-specs-DR-SNR'!$O$5:$O$50)</f>
        <v>4.7655224082579553</v>
      </c>
      <c r="O15" s="54">
        <f t="shared" si="0"/>
        <v>50.361739897417124</v>
      </c>
      <c r="P15" s="55">
        <f>LOOKUP(M15,'ASI533-specs-DR-SNR'!$A$5:$A$50,'ASI533-specs-DR-SNR'!$AC$5:$AC$50)</f>
        <v>13.880160435327221</v>
      </c>
      <c r="Q15" s="56">
        <f ca="1">LOOKUP(M15,'ASI533-specs-DR-SNR'!$A$5:$A$50,'ASI533-specs-DR-SNR'!$AE$5:$AE56)</f>
        <v>21.739074773940292</v>
      </c>
    </row>
    <row r="16" spans="2:17" x14ac:dyDescent="0.35">
      <c r="B16" s="4"/>
      <c r="C16" s="63"/>
      <c r="D16" s="10"/>
      <c r="E16" s="6"/>
      <c r="G16" s="4"/>
      <c r="H16" s="72"/>
      <c r="I16" s="71"/>
      <c r="J16" s="5"/>
      <c r="K16" s="6"/>
      <c r="M16" s="11">
        <f t="shared" si="1"/>
        <v>70</v>
      </c>
      <c r="N16" s="83">
        <f>LOOKUP(M16,'ASI533-specs-DR-SNR'!$A$5:$A$50,'ASI533-specs-DR-SNR'!$O$5:$O$50)</f>
        <v>4.6006771338942984</v>
      </c>
      <c r="O16" s="54">
        <f t="shared" si="0"/>
        <v>52.166234016262976</v>
      </c>
      <c r="P16" s="55">
        <f>LOOKUP(M16,'ASI533-specs-DR-SNR'!$A$5:$A$50,'ASI533-specs-DR-SNR'!$AC$5:$AC$50)</f>
        <v>13.766692309814522</v>
      </c>
      <c r="Q16" s="56">
        <f ca="1">LOOKUP(M16,'ASI533-specs-DR-SNR'!$A$5:$A$50,'ASI533-specs-DR-SNR'!$AE$5:$AE57)</f>
        <v>21.739074773940292</v>
      </c>
    </row>
    <row r="17" spans="2:18" ht="15" thickBot="1" x14ac:dyDescent="0.4">
      <c r="B17" s="4"/>
      <c r="C17" s="63" t="s">
        <v>79</v>
      </c>
      <c r="D17" s="14">
        <v>0.57999999999999996</v>
      </c>
      <c r="E17" s="6" t="s">
        <v>78</v>
      </c>
      <c r="G17" s="70" t="s">
        <v>150</v>
      </c>
      <c r="H17" s="5"/>
      <c r="I17" s="5"/>
      <c r="J17" s="5"/>
      <c r="K17" s="6"/>
      <c r="M17" s="11">
        <f t="shared" si="1"/>
        <v>80</v>
      </c>
      <c r="N17" s="83">
        <f>LOOKUP(M17,'ASI533-specs-DR-SNR'!$A$5:$A$50,'ASI533-specs-DR-SNR'!$O$5:$O$50)</f>
        <v>4.4418808436125055</v>
      </c>
      <c r="O17" s="54">
        <f t="shared" si="0"/>
        <v>54.031165726816781</v>
      </c>
      <c r="P17" s="55">
        <f>LOOKUP(M17,'ASI533-specs-DR-SNR'!$A$5:$A$50,'ASI533-specs-DR-SNR'!$AC$5:$AC$50)</f>
        <v>13.653023375093223</v>
      </c>
      <c r="Q17" s="56">
        <f ca="1">LOOKUP(M17,'ASI533-specs-DR-SNR'!$A$5:$A$50,'ASI533-specs-DR-SNR'!$AE$5:$AE58)</f>
        <v>21.739074773940295</v>
      </c>
    </row>
    <row r="18" spans="2:18" ht="16" thickBot="1" x14ac:dyDescent="0.4">
      <c r="B18" s="4"/>
      <c r="C18" s="63"/>
      <c r="D18" s="68"/>
      <c r="E18" s="6"/>
      <c r="G18" s="4" t="s">
        <v>72</v>
      </c>
      <c r="H18" s="122">
        <v>100</v>
      </c>
      <c r="I18" s="5"/>
      <c r="J18" s="5"/>
      <c r="K18" s="6"/>
      <c r="M18" s="11">
        <f t="shared" si="1"/>
        <v>90</v>
      </c>
      <c r="N18" s="83">
        <f>LOOKUP(M18,'ASI533-specs-DR-SNR'!$A$5:$A$50,'ASI533-specs-DR-SNR'!$O$5:$O$50)</f>
        <v>4.288966207285827</v>
      </c>
      <c r="O18" s="54">
        <f t="shared" si="0"/>
        <v>55.957540442333872</v>
      </c>
      <c r="P18" s="55">
        <f>LOOKUP(M18,'ASI533-specs-DR-SNR'!$A$5:$A$50,'ASI533-specs-DR-SNR'!$AC$5:$AC$50)</f>
        <v>13.539125449857972</v>
      </c>
      <c r="Q18" s="56">
        <f ca="1">LOOKUP(M18,'ASI533-specs-DR-SNR'!$A$5:$A$50,'ASI533-specs-DR-SNR'!$AE$5:$AE59)</f>
        <v>21.739074773940295</v>
      </c>
    </row>
    <row r="19" spans="2:18" ht="16.5" x14ac:dyDescent="0.35">
      <c r="B19" s="4"/>
      <c r="C19" s="63" t="s">
        <v>62</v>
      </c>
      <c r="D19" s="14">
        <v>10</v>
      </c>
      <c r="E19" s="6" t="s">
        <v>63</v>
      </c>
      <c r="G19" s="4"/>
      <c r="H19" s="5"/>
      <c r="I19" s="5"/>
      <c r="J19" s="5"/>
      <c r="K19" s="6"/>
      <c r="M19" s="11">
        <f t="shared" si="1"/>
        <v>100</v>
      </c>
      <c r="N19" s="83">
        <f>LOOKUP(M19,'ASI533-specs-DR-SNR'!$A$5:$A$50,'ASI533-specs-DR-SNR'!$O$5:$O$50)</f>
        <v>0.88704376806250462</v>
      </c>
      <c r="O19" s="54">
        <f t="shared" si="0"/>
        <v>270.56162124244656</v>
      </c>
      <c r="P19" s="55">
        <f>LOOKUP(M19,'ASI533-specs-DR-SNR'!$A$5:$A$50,'ASI533-specs-DR-SNR'!$AC$5:$AC$50)</f>
        <v>15.648442228062452</v>
      </c>
      <c r="Q19" s="56">
        <f ca="1">LOOKUP(M19,'ASI533-specs-DR-SNR'!$A$5:$A$50,'ASI533-specs-DR-SNR'!$AE$5:$AE60)</f>
        <v>21.739074773940295</v>
      </c>
    </row>
    <row r="20" spans="2:18" ht="17.25" customHeight="1" x14ac:dyDescent="0.35">
      <c r="B20" s="4"/>
      <c r="C20" s="63"/>
      <c r="D20" s="10"/>
      <c r="E20" s="6"/>
      <c r="G20" s="4" t="s">
        <v>72</v>
      </c>
      <c r="H20" s="79">
        <f>LOOKUP(H18,'ASI533-specs-DR-SNR'!A5:A45,'ASI533-specs-DR-SNR'!B5:B45)</f>
        <v>0.9929702999999992</v>
      </c>
      <c r="I20" s="71" t="s">
        <v>95</v>
      </c>
      <c r="J20" s="5"/>
      <c r="K20" s="6"/>
      <c r="M20" s="11">
        <f t="shared" si="1"/>
        <v>110</v>
      </c>
      <c r="N20" s="83">
        <f>LOOKUP(M20,'ASI533-specs-DR-SNR'!$A$5:$A$50,'ASI533-specs-DR-SNR'!$O$5:$O$50)</f>
        <v>0.86036254481590968</v>
      </c>
      <c r="O20" s="54">
        <f t="shared" si="0"/>
        <v>278.95217132139612</v>
      </c>
      <c r="P20" s="55">
        <f>LOOKUP(M20,'ASI533-specs-DR-SNR'!$A$5:$A$50,'ASI533-specs-DR-SNR'!$AC$5:$AC$50)</f>
        <v>15.538452610142132</v>
      </c>
      <c r="Q20" s="56">
        <f ca="1">LOOKUP(M20,'ASI533-specs-DR-SNR'!$A$5:$A$50,'ASI533-specs-DR-SNR'!$AE$5:$AE61)</f>
        <v>21.739074773940292</v>
      </c>
    </row>
    <row r="21" spans="2:18" ht="17.25" customHeight="1" thickBot="1" x14ac:dyDescent="0.4">
      <c r="B21" s="7"/>
      <c r="C21" s="64" t="s">
        <v>67</v>
      </c>
      <c r="D21" s="121">
        <v>240</v>
      </c>
      <c r="E21" s="9" t="s">
        <v>68</v>
      </c>
      <c r="G21" s="7" t="s">
        <v>29</v>
      </c>
      <c r="H21" s="81">
        <f>LOOKUP(H18,'ASI533-specs-DR-SNR'!A5:A45,'ASI533-specs-DR-SNR'!E5:E45)</f>
        <v>1.5133080000000001</v>
      </c>
      <c r="I21" s="75" t="s">
        <v>96</v>
      </c>
      <c r="J21" s="8"/>
      <c r="K21" s="9"/>
      <c r="M21" s="11">
        <f t="shared" si="1"/>
        <v>120</v>
      </c>
      <c r="N21" s="83">
        <f>LOOKUP(M21,'ASI533-specs-DR-SNR'!$A$5:$A$50,'ASI533-specs-DR-SNR'!$O$5:$O$50)</f>
        <v>0.83489010057337087</v>
      </c>
      <c r="O21" s="54">
        <f t="shared" si="0"/>
        <v>287.46298445169862</v>
      </c>
      <c r="P21" s="55">
        <f>LOOKUP(M21,'ASI533-specs-DR-SNR'!$A$5:$A$50,'ASI533-specs-DR-SNR'!$AC$5:$AC$50)</f>
        <v>15.418038808366122</v>
      </c>
      <c r="Q21" s="56">
        <f ca="1">LOOKUP(M21,'ASI533-specs-DR-SNR'!$A$5:$A$50,'ASI533-specs-DR-SNR'!$AE$5:$AE62)</f>
        <v>21.739074773940295</v>
      </c>
    </row>
    <row r="22" spans="2:18" ht="15" thickBot="1" x14ac:dyDescent="0.4">
      <c r="C22" s="13"/>
      <c r="G22" s="5"/>
      <c r="H22" s="72"/>
      <c r="I22" s="71"/>
      <c r="J22" s="5"/>
      <c r="K22" s="5"/>
      <c r="M22" s="11">
        <f t="shared" si="1"/>
        <v>130</v>
      </c>
      <c r="N22" s="83">
        <f>LOOKUP(M22,'ASI533-specs-DR-SNR'!$A$5:$A$50,'ASI533-specs-DR-SNR'!$O$5:$O$50)</f>
        <v>0.81059002804444136</v>
      </c>
      <c r="O22" s="54">
        <f t="shared" si="0"/>
        <v>296.08062238194935</v>
      </c>
      <c r="P22" s="55">
        <f>LOOKUP(M22,'ASI533-specs-DR-SNR'!$A$5:$A$50,'ASI533-specs-DR-SNR'!$AC$5:$AC$50)</f>
        <v>15.296843782908995</v>
      </c>
      <c r="Q22" s="56">
        <f ca="1">LOOKUP(M22,'ASI533-specs-DR-SNR'!$A$5:$A$50,'ASI533-specs-DR-SNR'!$AE$5:$AE63)</f>
        <v>21.739074773940295</v>
      </c>
    </row>
    <row r="23" spans="2:18" x14ac:dyDescent="0.35">
      <c r="B23" s="61" t="s">
        <v>65</v>
      </c>
      <c r="C23" s="65"/>
      <c r="D23" s="2"/>
      <c r="E23" s="3"/>
      <c r="G23" s="61" t="s">
        <v>65</v>
      </c>
      <c r="H23" s="77" t="s">
        <v>97</v>
      </c>
      <c r="I23" s="77" t="s">
        <v>98</v>
      </c>
      <c r="J23" s="77" t="s">
        <v>100</v>
      </c>
      <c r="K23" s="76" t="s">
        <v>1</v>
      </c>
      <c r="M23" s="11">
        <f t="shared" si="1"/>
        <v>140</v>
      </c>
      <c r="N23" s="83">
        <f>LOOKUP(M23,'ASI533-specs-DR-SNR'!$A$5:$A$50,'ASI533-specs-DR-SNR'!$O$5:$O$50)</f>
        <v>0.78742707425313663</v>
      </c>
      <c r="O23" s="54">
        <f t="shared" si="0"/>
        <v>304.79012958455434</v>
      </c>
      <c r="P23" s="55">
        <f>LOOKUP(M23,'ASI533-specs-DR-SNR'!$A$5:$A$50,'ASI533-specs-DR-SNR'!$AC$5:$AC$50)</f>
        <v>15.174821211654244</v>
      </c>
      <c r="Q23" s="56">
        <f ca="1">LOOKUP(M23,'ASI533-specs-DR-SNR'!$A$5:$A$50,'ASI533-specs-DR-SNR'!$AE$5:$AE64)</f>
        <v>21.739074773940292</v>
      </c>
    </row>
    <row r="24" spans="2:18" x14ac:dyDescent="0.35">
      <c r="B24" s="4"/>
      <c r="C24" s="63" t="s">
        <v>19</v>
      </c>
      <c r="D24" s="49">
        <f>(D11/D9)*0.0036*180/PI()</f>
        <v>1.2061518996719787</v>
      </c>
      <c r="E24" s="6" t="s">
        <v>8</v>
      </c>
      <c r="G24" s="4" t="s">
        <v>90</v>
      </c>
      <c r="H24" s="79">
        <f>H14-H15</f>
        <v>0.75</v>
      </c>
      <c r="I24" s="79">
        <f>H24*H20</f>
        <v>0.7447277249999994</v>
      </c>
      <c r="J24" s="79">
        <f>H24/H10</f>
        <v>6.2500000000000003E-3</v>
      </c>
      <c r="K24" s="82">
        <f>I24/H10</f>
        <v>6.2060643749999953E-3</v>
      </c>
      <c r="L24" s="5"/>
      <c r="M24" s="11">
        <f t="shared" si="1"/>
        <v>150</v>
      </c>
      <c r="N24" s="83">
        <f>LOOKUP(M24,'ASI533-specs-DR-SNR'!$A$5:$A$50,'ASI533-specs-DR-SNR'!$O$5:$O$50)</f>
        <v>0.76536714053793731</v>
      </c>
      <c r="O24" s="54">
        <f t="shared" si="0"/>
        <v>313.57499857038061</v>
      </c>
      <c r="P24" s="55">
        <f>LOOKUP(M24,'ASI533-specs-DR-SNR'!$A$5:$A$50,'ASI533-specs-DR-SNR'!$AC$5:$AC$50)</f>
        <v>15.051924083537465</v>
      </c>
      <c r="Q24" s="56">
        <f ca="1">LOOKUP(M24,'ASI533-specs-DR-SNR'!$A$5:$A$50,'ASI533-specs-DR-SNR'!$AE$5:$AE65)</f>
        <v>21.739074773940292</v>
      </c>
    </row>
    <row r="25" spans="2:18" x14ac:dyDescent="0.35">
      <c r="B25" s="4"/>
      <c r="C25" s="63"/>
      <c r="D25" s="5"/>
      <c r="E25" s="6"/>
      <c r="G25" s="4" t="s">
        <v>99</v>
      </c>
      <c r="H25" s="79">
        <f>H13-H14</f>
        <v>52</v>
      </c>
      <c r="I25" s="79">
        <f>H25*H20</f>
        <v>51.63445559999996</v>
      </c>
      <c r="J25" s="79">
        <f>H25/H10</f>
        <v>0.43333333333333335</v>
      </c>
      <c r="K25" s="78">
        <f>I25/H10</f>
        <v>0.43028712999999968</v>
      </c>
      <c r="L25" s="5"/>
      <c r="M25" s="11">
        <f t="shared" si="1"/>
        <v>160</v>
      </c>
      <c r="N25" s="83">
        <f>LOOKUP(M25,'ASI533-specs-DR-SNR'!$A$5:$A$50,'ASI533-specs-DR-SNR'!$O$5:$O$50)</f>
        <v>0.74437728255178603</v>
      </c>
      <c r="O25" s="54">
        <f t="shared" si="0"/>
        <v>322.41714736008657</v>
      </c>
      <c r="P25" s="55">
        <f>LOOKUP(M25,'ASI533-specs-DR-SNR'!$A$5:$A$50,'ASI533-specs-DR-SNR'!$AC$5:$AC$50)</f>
        <v>14.928104863530692</v>
      </c>
      <c r="Q25" s="56">
        <f ca="1">LOOKUP(M25,'ASI533-specs-DR-SNR'!$A$5:$A$50,'ASI533-specs-DR-SNR'!$AE$5:$AE66)</f>
        <v>21.739074773940292</v>
      </c>
    </row>
    <row r="26" spans="2:18" ht="16.5" x14ac:dyDescent="0.35">
      <c r="B26" s="4"/>
      <c r="C26" s="63" t="s">
        <v>151</v>
      </c>
      <c r="D26" s="48">
        <f xml:space="preserve"> (-0.00000045063*D14^2 + 0.000090632*D14 + 0.62647)*10^(-0.4*(D6-20.7))</f>
        <v>0.49095398606089641</v>
      </c>
      <c r="E26" s="6" t="s">
        <v>110</v>
      </c>
      <c r="G26" s="4"/>
      <c r="H26" s="5"/>
      <c r="I26" s="5"/>
      <c r="J26" s="5"/>
      <c r="K26" s="6"/>
      <c r="L26" s="5"/>
      <c r="M26" s="11">
        <f t="shared" si="1"/>
        <v>170</v>
      </c>
      <c r="N26" s="83">
        <f>LOOKUP(M26,'ASI533-specs-DR-SNR'!$A$5:$A$50,'ASI533-specs-DR-SNR'!$O$5:$O$50)</f>
        <v>0.72442571026208935</v>
      </c>
      <c r="O26" s="54">
        <f t="shared" si="0"/>
        <v>331.29691091881682</v>
      </c>
      <c r="P26" s="55">
        <f>LOOKUP(M26,'ASI533-specs-DR-SNR'!$A$5:$A$50,'ASI533-specs-DR-SNR'!$AC$5:$AC$50)</f>
        <v>14.803315666414491</v>
      </c>
      <c r="Q26" s="56">
        <f ca="1">LOOKUP(M26,'ASI533-specs-DR-SNR'!$A$5:$A$50,'ASI533-specs-DR-SNR'!$AE$5:$AE67)</f>
        <v>21.739074773940295</v>
      </c>
    </row>
    <row r="27" spans="2:18" x14ac:dyDescent="0.35">
      <c r="B27" s="4"/>
      <c r="C27" s="63" t="s">
        <v>152</v>
      </c>
      <c r="D27" s="48">
        <f>D17*D26*D15*D24^2*(PI()*D8^2/4)</f>
        <v>0.43028712999999918</v>
      </c>
      <c r="E27" s="6" t="s">
        <v>66</v>
      </c>
      <c r="G27" s="73" t="s">
        <v>83</v>
      </c>
      <c r="H27" s="48">
        <f>K25</f>
        <v>0.43028712999999968</v>
      </c>
      <c r="I27" s="5" t="s">
        <v>66</v>
      </c>
      <c r="J27" s="5"/>
      <c r="K27" s="6"/>
      <c r="L27" s="5"/>
      <c r="M27" s="11">
        <f t="shared" si="1"/>
        <v>180</v>
      </c>
      <c r="N27" s="83">
        <f>LOOKUP(M27,'ASI533-specs-DR-SNR'!$A$5:$A$50,'ASI533-specs-DR-SNR'!$O$5:$O$50)</f>
        <v>0.70548178795071814</v>
      </c>
      <c r="O27" s="54">
        <f t="shared" si="0"/>
        <v>340.19304835232026</v>
      </c>
      <c r="P27" s="55">
        <f>LOOKUP(M27,'ASI533-specs-DR-SNR'!$A$5:$A$50,'ASI533-specs-DR-SNR'!$AC$5:$AC$50)</f>
        <v>14.677508430302105</v>
      </c>
      <c r="Q27" s="56">
        <f ca="1">LOOKUP(M27,'ASI533-specs-DR-SNR'!$A$5:$A$50,'ASI533-specs-DR-SNR'!$AE$5:$AE68)</f>
        <v>21.739074773940292</v>
      </c>
    </row>
    <row r="28" spans="2:18" x14ac:dyDescent="0.35">
      <c r="B28" s="4"/>
      <c r="C28" s="63" t="s">
        <v>153</v>
      </c>
      <c r="D28" s="48">
        <f>D27/D17</f>
        <v>0.74187436206896418</v>
      </c>
      <c r="E28" s="6" t="s">
        <v>66</v>
      </c>
      <c r="G28" s="73"/>
      <c r="H28" s="5"/>
      <c r="I28" s="5"/>
      <c r="J28" s="5"/>
      <c r="K28" s="6"/>
      <c r="L28" s="5"/>
      <c r="M28" s="11">
        <f t="shared" si="1"/>
        <v>190</v>
      </c>
      <c r="N28" s="83">
        <f>LOOKUP(M28,'ASI533-specs-DR-SNR'!$A$5:$A$50,'ASI533-specs-DR-SNR'!$O$5:$O$50)</f>
        <v>0.68751603421400487</v>
      </c>
      <c r="O28" s="54">
        <f t="shared" si="0"/>
        <v>349.08276761047085</v>
      </c>
      <c r="P28" s="55">
        <f>LOOKUP(M28,'ASI533-specs-DR-SNR'!$A$5:$A$50,'ASI533-specs-DR-SNR'!$AC$5:$AC$50)</f>
        <v>14.550635077024968</v>
      </c>
      <c r="Q28" s="56">
        <f ca="1">LOOKUP(M28,'ASI533-specs-DR-SNR'!$A$5:$A$50,'ASI533-specs-DR-SNR'!$AE$5:$AE69)</f>
        <v>21.739074773940295</v>
      </c>
    </row>
    <row r="29" spans="2:18" ht="16.5" x14ac:dyDescent="0.35">
      <c r="B29" s="4"/>
      <c r="C29" s="63"/>
      <c r="D29" s="5"/>
      <c r="E29" s="6"/>
      <c r="G29" s="73" t="s">
        <v>103</v>
      </c>
      <c r="H29" s="48">
        <f>H27/(D17*D15*D24^2*(PI()*D8^2/4))</f>
        <v>0.49095398606089702</v>
      </c>
      <c r="I29" s="5" t="s">
        <v>111</v>
      </c>
      <c r="J29" s="5"/>
      <c r="K29" s="6"/>
      <c r="L29" s="5"/>
      <c r="M29" s="11">
        <f t="shared" si="1"/>
        <v>200</v>
      </c>
      <c r="N29" s="83">
        <f>LOOKUP(M29,'ASI533-specs-DR-SNR'!$A$5:$A$50,'ASI533-specs-DR-SNR'!$O$5:$O$50)</f>
        <v>0.67050012196274755</v>
      </c>
      <c r="O29" s="54">
        <f t="shared" si="0"/>
        <v>357.94176934293563</v>
      </c>
      <c r="P29" s="55">
        <f>LOOKUP(M29,'ASI533-specs-DR-SNR'!$A$5:$A$50,'ASI533-specs-DR-SNR'!$AC$5:$AC$50)</f>
        <v>14.422647641854613</v>
      </c>
      <c r="Q29" s="56">
        <f ca="1">LOOKUP(M29,'ASI533-specs-DR-SNR'!$A$5:$A$50,'ASI533-specs-DR-SNR'!$AE$5:$AE70)</f>
        <v>21.739074773940292</v>
      </c>
      <c r="R29" s="5"/>
    </row>
    <row r="30" spans="2:18" ht="16.5" x14ac:dyDescent="0.35">
      <c r="B30" s="4"/>
      <c r="C30" s="63" t="s">
        <v>114</v>
      </c>
      <c r="D30" s="96">
        <v>22</v>
      </c>
      <c r="E30" s="93" t="s">
        <v>115</v>
      </c>
      <c r="G30" s="73"/>
      <c r="H30" s="48">
        <f>H27/D17</f>
        <v>0.74187436206896507</v>
      </c>
      <c r="I30" s="5" t="s">
        <v>66</v>
      </c>
      <c r="J30" s="5"/>
      <c r="K30" s="6"/>
      <c r="L30" s="5"/>
      <c r="M30" s="11">
        <f t="shared" si="1"/>
        <v>210</v>
      </c>
      <c r="N30" s="83">
        <f>LOOKUP(M30,'ASI533-specs-DR-SNR'!$A$5:$A$50,'ASI533-specs-DR-SNR'!$O$5:$O$50)</f>
        <v>0.65440687842220602</v>
      </c>
      <c r="O30" s="54">
        <f t="shared" si="0"/>
        <v>366.74431139637005</v>
      </c>
      <c r="P30" s="55">
        <f>LOOKUP(M30,'ASI533-specs-DR-SNR'!$A$5:$A$50,'ASI533-specs-DR-SNR'!$AC$5:$AC$50)</f>
        <v>14.293498349659814</v>
      </c>
      <c r="Q30" s="56">
        <f ca="1">LOOKUP(M30,'ASI533-specs-DR-SNR'!$A$5:$A$50,'ASI533-specs-DR-SNR'!$AE$5:$AE71)</f>
        <v>21.739074773940295</v>
      </c>
      <c r="R30" s="5"/>
    </row>
    <row r="31" spans="2:18" ht="16.5" x14ac:dyDescent="0.35">
      <c r="B31" s="4"/>
      <c r="C31" s="63"/>
      <c r="D31" s="48">
        <f xml:space="preserve"> (-0.000001*D14^2 + 0.00064*D14+ 0.4905)*10^(-0.4*((D30)-20.7))</f>
        <v>0.16307739290170872</v>
      </c>
      <c r="E31" s="6" t="s">
        <v>110</v>
      </c>
      <c r="G31" s="73"/>
      <c r="H31" s="50"/>
      <c r="I31" s="5"/>
      <c r="J31" s="5"/>
      <c r="K31" s="6"/>
      <c r="L31" s="5"/>
      <c r="M31" s="11">
        <f t="shared" si="1"/>
        <v>220</v>
      </c>
      <c r="N31" s="83">
        <f>LOOKUP(M31,'ASI533-specs-DR-SNR'!$A$5:$A$50,'ASI533-specs-DR-SNR'!$O$5:$O$50)</f>
        <v>0.63921028513210465</v>
      </c>
      <c r="O31" s="54">
        <f t="shared" si="0"/>
        <v>375.46329522904898</v>
      </c>
      <c r="P31" s="55">
        <f>LOOKUP(M31,'ASI533-specs-DR-SNR'!$A$5:$A$50,'ASI533-specs-DR-SNR'!$AC$5:$AC$50)</f>
        <v>14.16313960863121</v>
      </c>
      <c r="Q31" s="56">
        <f ca="1">LOOKUP(M31,'ASI533-specs-DR-SNR'!$A$5:$A$50,'ASI533-specs-DR-SNR'!$AE$5:$AE72)</f>
        <v>21.739074773940295</v>
      </c>
      <c r="R31" s="5"/>
    </row>
    <row r="32" spans="2:18" ht="17" thickBot="1" x14ac:dyDescent="0.4">
      <c r="B32" s="7"/>
      <c r="C32" s="8"/>
      <c r="D32" s="94">
        <f>D17*D31*D15*D24^2*(PI()*D8^2/4)</f>
        <v>0.14292602840962537</v>
      </c>
      <c r="E32" s="95" t="s">
        <v>66</v>
      </c>
      <c r="G32" s="73" t="s">
        <v>85</v>
      </c>
      <c r="H32" s="48">
        <f>(-0.00000045063*D14^2 + 0.000090632*D14 + 0.62647)*10^(-0.4*(20.7-20.7))</f>
        <v>0.54000202499999994</v>
      </c>
      <c r="I32" s="5" t="s">
        <v>111</v>
      </c>
      <c r="J32" s="5"/>
      <c r="K32" s="6"/>
      <c r="L32" s="5"/>
      <c r="M32" s="11">
        <f t="shared" si="1"/>
        <v>230</v>
      </c>
      <c r="N32" s="83">
        <f>LOOKUP(M32,'ASI533-specs-DR-SNR'!$A$5:$A$50,'ASI533-specs-DR-SNR'!$O$5:$O$50)</f>
        <v>0.62488547794663052</v>
      </c>
      <c r="O32" s="54">
        <f t="shared" si="0"/>
        <v>384.07037524481825</v>
      </c>
      <c r="P32" s="55">
        <f>LOOKUP(M32,'ASI533-specs-DR-SNR'!$A$5:$A$50,'ASI533-specs-DR-SNR'!$AC$5:$AC$50)</f>
        <v>14.03152388648186</v>
      </c>
      <c r="Q32" s="56">
        <f ca="1">LOOKUP(M32,'ASI533-specs-DR-SNR'!$A$5:$A$50,'ASI533-specs-DR-SNR'!$AE$5:$AE73)</f>
        <v>21.739074773940292</v>
      </c>
      <c r="R32" s="5"/>
    </row>
    <row r="33" spans="2:18" ht="15" thickBot="1" x14ac:dyDescent="0.4">
      <c r="G33" s="73"/>
      <c r="H33" s="5"/>
      <c r="I33" s="5"/>
      <c r="J33" s="5"/>
      <c r="K33" s="6"/>
      <c r="L33" s="5"/>
      <c r="M33" s="11">
        <f t="shared" si="1"/>
        <v>240</v>
      </c>
      <c r="N33" s="83">
        <f>LOOKUP(M33,'ASI533-specs-DR-SNR'!$A$5:$A$50,'ASI533-specs-DR-SNR'!$O$5:$O$50)</f>
        <v>0.61140874703443493</v>
      </c>
      <c r="O33" s="54">
        <f t="shared" si="0"/>
        <v>392.53609171293562</v>
      </c>
      <c r="P33" s="55">
        <f>LOOKUP(M33,'ASI533-specs-DR-SNR'!$A$5:$A$50,'ASI533-specs-DR-SNR'!$AC$5:$AC$50)</f>
        <v>13.898603428153574</v>
      </c>
      <c r="Q33" s="56">
        <f ca="1">LOOKUP(M33,'ASI533-specs-DR-SNR'!$A$5:$A$50,'ASI533-specs-DR-SNR'!$AE$5:$AE74)</f>
        <v>21.739074773940295</v>
      </c>
      <c r="R33" s="5"/>
    </row>
    <row r="34" spans="2:18" ht="15" thickBot="1" x14ac:dyDescent="0.4">
      <c r="B34" t="s">
        <v>113</v>
      </c>
      <c r="E34" s="124">
        <v>100</v>
      </c>
      <c r="G34" s="73" t="s">
        <v>82</v>
      </c>
      <c r="H34" s="49">
        <f>20.7-(2.5*LOG(H29/H32))</f>
        <v>20.803386495011182</v>
      </c>
      <c r="I34" s="5" t="s">
        <v>55</v>
      </c>
      <c r="J34" s="5"/>
      <c r="K34" s="6"/>
      <c r="L34" s="5"/>
      <c r="M34" s="11">
        <f t="shared" si="1"/>
        <v>250</v>
      </c>
      <c r="N34" s="83">
        <f>LOOKUP(M34,'ASI533-specs-DR-SNR'!$A$5:$A$50,'ASI533-specs-DR-SNR'!$O$5:$O$50)</f>
        <v>0.59875753687863154</v>
      </c>
      <c r="O34" s="54">
        <f t="shared" si="0"/>
        <v>400.83002754527018</v>
      </c>
      <c r="P34" s="55">
        <f>LOOKUP(M34,'ASI533-specs-DR-SNR'!$A$5:$A$50,'ASI533-specs-DR-SNR'!$AC$5:$AC$50)</f>
        <v>13.764329769524085</v>
      </c>
      <c r="Q34" s="56">
        <f ca="1">LOOKUP(M34,'ASI533-specs-DR-SNR'!$A$5:$A$50,'ASI533-specs-DR-SNR'!$AE$5:$AE75)</f>
        <v>21.739074773940295</v>
      </c>
      <c r="R34" s="5"/>
    </row>
    <row r="35" spans="2:18" ht="15" thickBot="1" x14ac:dyDescent="0.4">
      <c r="G35" s="7"/>
      <c r="H35" s="8"/>
      <c r="I35" s="8"/>
      <c r="J35" s="8"/>
      <c r="K35" s="9"/>
      <c r="L35" s="5"/>
      <c r="M35" s="11">
        <f t="shared" si="1"/>
        <v>260</v>
      </c>
      <c r="N35" s="83">
        <f>LOOKUP(M35,'ASI533-specs-DR-SNR'!$A$5:$A$50,'ASI533-specs-DR-SNR'!$O$5:$O$50)</f>
        <v>0.58691044627679878</v>
      </c>
      <c r="O35" s="54">
        <f t="shared" si="0"/>
        <v>408.92098875134207</v>
      </c>
      <c r="P35" s="55">
        <f>LOOKUP(M35,'ASI533-specs-DR-SNR'!$A$5:$A$50,'ASI533-specs-DR-SNR'!$AC$5:$AC$50)</f>
        <v>13.628652999980925</v>
      </c>
      <c r="Q35" s="56">
        <f ca="1">LOOKUP(M35,'ASI533-specs-DR-SNR'!$A$5:$A$50,'ASI533-specs-DR-SNR'!$AE$5:$AE76)</f>
        <v>21.739074773940292</v>
      </c>
      <c r="R35" s="5"/>
    </row>
    <row r="36" spans="2:18" x14ac:dyDescent="0.35">
      <c r="C36" s="89" t="s">
        <v>67</v>
      </c>
      <c r="D36" s="91" t="s">
        <v>112</v>
      </c>
      <c r="E36" s="92" t="s">
        <v>75</v>
      </c>
      <c r="K36" s="5"/>
      <c r="L36" s="5"/>
      <c r="M36" s="11">
        <f t="shared" si="1"/>
        <v>270</v>
      </c>
      <c r="N36" s="83">
        <f>LOOKUP(M36,'ASI533-specs-DR-SNR'!$A$5:$A$50,'ASI533-specs-DR-SNR'!$O$5:$O$50)</f>
        <v>0.57584722834097746</v>
      </c>
      <c r="O36" s="54">
        <f t="shared" si="0"/>
        <v>416.7772078914798</v>
      </c>
      <c r="P36" s="55">
        <f>LOOKUP(M36,'ASI533-specs-DR-SNR'!$A$5:$A$50,'ASI533-specs-DR-SNR'!$AC$5:$AC$50)</f>
        <v>13.491520730358454</v>
      </c>
      <c r="Q36" s="56">
        <f ca="1">LOOKUP(M36,'ASI533-specs-DR-SNR'!$A$5:$A$50,'ASI533-specs-DR-SNR'!$AE$5:$AE77)</f>
        <v>21.739074773940295</v>
      </c>
      <c r="R36" s="5"/>
    </row>
    <row r="37" spans="2:18" x14ac:dyDescent="0.35">
      <c r="C37" s="11">
        <f>D21*0.25</f>
        <v>60</v>
      </c>
      <c r="D37" s="55">
        <f t="shared" ref="D37:D46" si="2">LOOKUP($E$34,$M$9:$M$53,$P$9:$P$53)+(LOG(SQRT((C37/$D$21)*LOOKUP($E$34,$M$9:$M$53,$O$9:$O$53)))/LOG(2)-LOG(SQRT((LOOKUP($E$34,$M$9:$M$53,$O$9:$O$53))))/LOG(2))</f>
        <v>14.648442228062452</v>
      </c>
      <c r="E37" s="56">
        <f t="shared" ref="E37:E46" ca="1" si="3">SQRT(C37/$D$21)*LOOKUP($E$34,$M$9:$M$53,$Q$9:$Q$53)</f>
        <v>10.869537386970148</v>
      </c>
      <c r="K37" s="5"/>
      <c r="L37" s="5"/>
      <c r="M37" s="11">
        <f t="shared" si="1"/>
        <v>280</v>
      </c>
      <c r="N37" s="83">
        <f>LOOKUP(M37,'ASI533-specs-DR-SNR'!$A$5:$A$50,'ASI533-specs-DR-SNR'!$O$5:$O$50)</f>
        <v>0.5655487904976727</v>
      </c>
      <c r="O37" s="54">
        <f t="shared" si="0"/>
        <v>424.36656930837808</v>
      </c>
      <c r="P37" s="55">
        <f>LOOKUP(M37,'ASI533-specs-DR-SNR'!$A$5:$A$50,'ASI533-specs-DR-SNR'!$AC$5:$AC$50)</f>
        <v>13.352876735079278</v>
      </c>
      <c r="Q37" s="56">
        <f ca="1">LOOKUP(M37,'ASI533-specs-DR-SNR'!$A$5:$A$50,'ASI533-specs-DR-SNR'!$AE$5:$AE78)</f>
        <v>21.739074773940295</v>
      </c>
    </row>
    <row r="38" spans="2:18" x14ac:dyDescent="0.35">
      <c r="C38" s="11">
        <f>D21*0.5</f>
        <v>120</v>
      </c>
      <c r="D38" s="55">
        <f t="shared" si="2"/>
        <v>15.148442228062454</v>
      </c>
      <c r="E38" s="56">
        <f t="shared" ca="1" si="3"/>
        <v>15.371847189374597</v>
      </c>
      <c r="K38" s="5"/>
      <c r="L38" s="5"/>
      <c r="M38" s="11">
        <f t="shared" si="1"/>
        <v>290</v>
      </c>
      <c r="N38" s="83">
        <f>LOOKUP(M38,'ASI533-specs-DR-SNR'!$A$5:$A$50,'ASI533-specs-DR-SNR'!$O$5:$O$50)</f>
        <v>0.55599719448785245</v>
      </c>
      <c r="O38" s="54">
        <f t="shared" si="0"/>
        <v>431.65685434990729</v>
      </c>
      <c r="P38" s="55">
        <f>LOOKUP(M38,'ASI533-specs-DR-SNR'!$A$5:$A$50,'ASI533-specs-DR-SNR'!$AC$5:$AC$50)</f>
        <v>13.212659263378592</v>
      </c>
      <c r="Q38" s="56">
        <f ca="1">LOOKUP(M38,'ASI533-specs-DR-SNR'!$A$5:$A$50,'ASI533-specs-DR-SNR'!$AE$5:$AE79)</f>
        <v>21.739074773940295</v>
      </c>
    </row>
    <row r="39" spans="2:18" x14ac:dyDescent="0.35">
      <c r="C39" s="11">
        <f>D21*0.75</f>
        <v>180</v>
      </c>
      <c r="D39" s="55">
        <f t="shared" si="2"/>
        <v>15.440923478423031</v>
      </c>
      <c r="E39" s="56">
        <f t="shared" ca="1" si="3"/>
        <v>18.826591009001749</v>
      </c>
      <c r="K39" s="5"/>
      <c r="L39" s="5"/>
      <c r="M39" s="11">
        <f t="shared" si="1"/>
        <v>300</v>
      </c>
      <c r="N39" s="83">
        <f>LOOKUP(M39,'ASI533-specs-DR-SNR'!$A$5:$A$50,'ASI533-specs-DR-SNR'!$O$5:$O$50)</f>
        <v>0.54717565636694843</v>
      </c>
      <c r="O39" s="54">
        <f t="shared" si="0"/>
        <v>438.61600421611325</v>
      </c>
      <c r="P39" s="55">
        <f>LOOKUP(M39,'ASI533-specs-DR-SNR'!$A$5:$A$50,'ASI533-specs-DR-SNR'!$AC$5:$AC$50)</f>
        <v>13.070799061312634</v>
      </c>
      <c r="Q39" s="56">
        <f ca="1">LOOKUP(M39,'ASI533-specs-DR-SNR'!$A$5:$A$50,'ASI533-specs-DR-SNR'!$AE$5:$AE80)</f>
        <v>21.739074773940299</v>
      </c>
    </row>
    <row r="40" spans="2:18" x14ac:dyDescent="0.35">
      <c r="C40" s="90">
        <f>D21*1</f>
        <v>240</v>
      </c>
      <c r="D40" s="55">
        <f t="shared" si="2"/>
        <v>15.648442228062452</v>
      </c>
      <c r="E40" s="56">
        <f t="shared" ca="1" si="3"/>
        <v>21.739074773940295</v>
      </c>
      <c r="K40" s="5"/>
      <c r="M40" s="11">
        <f t="shared" si="1"/>
        <v>310</v>
      </c>
      <c r="N40" s="83">
        <f>LOOKUP(M40,'ASI533-specs-DR-SNR'!$A$5:$A$50,'ASI533-specs-DR-SNR'!$O$5:$O$50)</f>
        <v>0.53906854650485558</v>
      </c>
      <c r="O40" s="54">
        <f t="shared" si="0"/>
        <v>445.21239748837439</v>
      </c>
      <c r="P40" s="55">
        <f>LOOKUP(M40,'ASI533-specs-DR-SNR'!$A$5:$A$50,'ASI533-specs-DR-SNR'!$AC$5:$AC$50)</f>
        <v>12.927217223919891</v>
      </c>
      <c r="Q40" s="56">
        <f ca="1">LOOKUP(M40,'ASI533-specs-DR-SNR'!$A$5:$A$50,'ASI533-specs-DR-SNR'!$AE$5:$AE81)</f>
        <v>21.739074773940292</v>
      </c>
    </row>
    <row r="41" spans="2:18" x14ac:dyDescent="0.35">
      <c r="C41" s="11">
        <f>D21*1.5</f>
        <v>360</v>
      </c>
      <c r="D41" s="55">
        <f t="shared" si="2"/>
        <v>15.940923478423031</v>
      </c>
      <c r="E41" s="56">
        <f t="shared" ca="1" si="3"/>
        <v>26.624820338181642</v>
      </c>
      <c r="K41" s="5"/>
      <c r="M41" s="11">
        <f t="shared" si="1"/>
        <v>320</v>
      </c>
      <c r="N41" s="83">
        <f>LOOKUP(M41,'ASI533-specs-DR-SNR'!$A$5:$A$50,'ASI533-specs-DR-SNR'!$O$5:$O$50)</f>
        <v>0.53166138958593279</v>
      </c>
      <c r="O41" s="54">
        <f t="shared" si="0"/>
        <v>451.41513884789754</v>
      </c>
      <c r="P41" s="55">
        <f>LOOKUP(M41,'ASI533-specs-DR-SNR'!$A$5:$A$50,'ASI533-specs-DR-SNR'!$AC$5:$AC$50)</f>
        <v>12.781823119697949</v>
      </c>
      <c r="Q41" s="56">
        <f ca="1">LOOKUP(M41,'ASI533-specs-DR-SNR'!$A$5:$A$50,'ASI533-specs-DR-SNR'!$AE$5:$AE82)</f>
        <v>21.739074773940292</v>
      </c>
    </row>
    <row r="42" spans="2:18" x14ac:dyDescent="0.35">
      <c r="C42" s="11">
        <f>D21*2</f>
        <v>480</v>
      </c>
      <c r="D42" s="55">
        <f t="shared" si="2"/>
        <v>16.14844222806245</v>
      </c>
      <c r="E42" s="56">
        <f t="shared" ca="1" si="3"/>
        <v>30.743694378749193</v>
      </c>
      <c r="K42" s="5"/>
      <c r="M42" s="11">
        <f t="shared" si="1"/>
        <v>330</v>
      </c>
      <c r="N42" s="83">
        <f>LOOKUP(M42,'ASI533-specs-DR-SNR'!$A$5:$A$50,'ASI533-specs-DR-SNR'!$O$5:$O$50)</f>
        <v>0.52494086460900147</v>
      </c>
      <c r="O42" s="54">
        <f t="shared" si="0"/>
        <v>457.19435498465589</v>
      </c>
      <c r="P42" s="55">
        <f>LOOKUP(M42,'ASI533-specs-DR-SNR'!$A$5:$A$50,'ASI533-specs-DR-SNR'!$AC$5:$AC$50)</f>
        <v>12.634512817888094</v>
      </c>
      <c r="Q42" s="56">
        <f ca="1">LOOKUP(M42,'ASI533-specs-DR-SNR'!$A$5:$A$50,'ASI533-specs-DR-SNR'!$AE$5:$AE83)</f>
        <v>21.739074773940292</v>
      </c>
    </row>
    <row r="43" spans="2:18" x14ac:dyDescent="0.35">
      <c r="C43" s="11">
        <f>D21*3</f>
        <v>720</v>
      </c>
      <c r="D43" s="55">
        <f t="shared" si="2"/>
        <v>16.440923478423031</v>
      </c>
      <c r="E43" s="56">
        <f t="shared" ca="1" si="3"/>
        <v>37.653182018003498</v>
      </c>
      <c r="K43" s="5"/>
      <c r="M43" s="11">
        <f t="shared" si="1"/>
        <v>340</v>
      </c>
      <c r="N43" s="83">
        <f>LOOKUP(M43,'ASI533-specs-DR-SNR'!$A$5:$A$50,'ASI533-specs-DR-SNR'!$O$5:$O$50)</f>
        <v>0.51889480488734785</v>
      </c>
      <c r="O43" s="54">
        <f t="shared" si="0"/>
        <v>462.52149325739356</v>
      </c>
      <c r="P43" s="55">
        <f>LOOKUP(M43,'ASI533-specs-DR-SNR'!$A$5:$A$50,'ASI533-specs-DR-SNR'!$AC$5:$AC$50)</f>
        <v>12.485168732349219</v>
      </c>
      <c r="Q43" s="56">
        <f ca="1">LOOKUP(M43,'ASI533-specs-DR-SNR'!$A$5:$A$50,'ASI533-specs-DR-SNR'!$AE$5:$AE84)</f>
        <v>21.739074773940295</v>
      </c>
    </row>
    <row r="44" spans="2:18" x14ac:dyDescent="0.35">
      <c r="C44" s="11">
        <f>D21*4</f>
        <v>960</v>
      </c>
      <c r="D44" s="55">
        <f t="shared" si="2"/>
        <v>16.648442228062454</v>
      </c>
      <c r="E44" s="56">
        <f t="shared" ca="1" si="3"/>
        <v>43.478149547880591</v>
      </c>
      <c r="K44" s="5"/>
      <c r="M44" s="11">
        <f t="shared" si="1"/>
        <v>350</v>
      </c>
      <c r="N44" s="83">
        <f>LOOKUP(M44,'ASI533-specs-DR-SNR'!$A$5:$A$50,'ASI533-specs-DR-SNR'!$O$5:$O$50)</f>
        <v>0.51351219804872028</v>
      </c>
      <c r="O44" s="54">
        <f t="shared" si="0"/>
        <v>467.36961831085779</v>
      </c>
      <c r="P44" s="55">
        <f>LOOKUP(M44,'ASI533-specs-DR-SNR'!$A$5:$A$50,'ASI533-specs-DR-SNR'!$AC$5:$AC$50)</f>
        <v>12.333661616841791</v>
      </c>
      <c r="Q44" s="56">
        <f ca="1">LOOKUP(M44,'ASI533-specs-DR-SNR'!$A$5:$A$50,'ASI533-specs-DR-SNR'!$AE$5:$AE85)</f>
        <v>21.739074773940295</v>
      </c>
    </row>
    <row r="45" spans="2:18" x14ac:dyDescent="0.35">
      <c r="C45" s="11">
        <f>D21*5</f>
        <v>1200</v>
      </c>
      <c r="D45" s="55">
        <f t="shared" si="2"/>
        <v>16.809406275506134</v>
      </c>
      <c r="E45" s="56">
        <f t="shared" ca="1" si="3"/>
        <v>48.610048962481379</v>
      </c>
      <c r="K45" s="5"/>
      <c r="M45" s="11">
        <f t="shared" si="1"/>
        <v>360</v>
      </c>
      <c r="N45" s="83">
        <f>LOOKUP(M45,'ASI533-specs-DR-SNR'!$A$5:$A$50,'ASI533-specs-DR-SNR'!$O$5:$O$50)</f>
        <v>0.50878318603533157</v>
      </c>
      <c r="O45" s="54">
        <f t="shared" ref="O45:O53" si="4">$D$21/N45</f>
        <v>471.71370160674616</v>
      </c>
      <c r="P45" s="55">
        <f>LOOKUP(M45,'ASI533-specs-DR-SNR'!$A$5:$A$50,'ASI533-specs-DR-SNR'!$AC$5:$AC$50)</f>
        <v>12.179856667740712</v>
      </c>
      <c r="Q45" s="56">
        <f ca="1">LOOKUP(M45,'ASI533-specs-DR-SNR'!$A$5:$A$50,'ASI533-specs-DR-SNR'!$AE$5:$AE86)</f>
        <v>21.739074773940292</v>
      </c>
    </row>
    <row r="46" spans="2:18" ht="15" thickBot="1" x14ac:dyDescent="0.4">
      <c r="C46" s="57">
        <f>D21*10</f>
        <v>2400</v>
      </c>
      <c r="D46" s="59">
        <f t="shared" si="2"/>
        <v>17.309406275506134</v>
      </c>
      <c r="E46" s="60">
        <f t="shared" ca="1" si="3"/>
        <v>68.744990510361362</v>
      </c>
      <c r="M46" s="11">
        <f t="shared" si="1"/>
        <v>370</v>
      </c>
      <c r="N46" s="83">
        <f>LOOKUP(M46,'ASI533-specs-DR-SNR'!$A$5:$A$50,'ASI533-specs-DR-SNR'!$O$5:$O$50)</f>
        <v>0.50469906510385698</v>
      </c>
      <c r="O46" s="54">
        <f t="shared" si="4"/>
        <v>475.53089869626132</v>
      </c>
      <c r="P46" s="55">
        <f>LOOKUP(M46,'ASI533-specs-DR-SNR'!$A$5:$A$50,'ASI533-specs-DR-SNR'!$AC$5:$AC$50)</f>
        <v>12.0236264017741</v>
      </c>
      <c r="Q46" s="56">
        <f ca="1">LOOKUP(M46,'ASI533-specs-DR-SNR'!$A$5:$A$50,'ASI533-specs-DR-SNR'!$AE$5:$AE87)</f>
        <v>21.739074773940299</v>
      </c>
    </row>
    <row r="47" spans="2:18" x14ac:dyDescent="0.35">
      <c r="M47" s="11">
        <f t="shared" si="1"/>
        <v>380</v>
      </c>
      <c r="N47" s="83">
        <f>LOOKUP(M47,'ASI533-specs-DR-SNR'!$A$5:$A$50,'ASI533-specs-DR-SNR'!$O$5:$O$50)</f>
        <v>0.50125228582543679</v>
      </c>
      <c r="O47" s="54">
        <f t="shared" si="4"/>
        <v>478.80080906719496</v>
      </c>
      <c r="P47" s="55">
        <f>LOOKUP(M47,'ASI533-specs-DR-SNR'!$A$5:$A$50,'ASI533-specs-DR-SNR'!$AC$5:$AC$50)</f>
        <v>11.864874304869439</v>
      </c>
      <c r="Q47" s="56">
        <f ca="1">LOOKUP(M47,'ASI533-specs-DR-SNR'!$A$5:$A$50,'ASI533-specs-DR-SNR'!$AE$5:$AE88)</f>
        <v>21.739074773940292</v>
      </c>
    </row>
    <row r="48" spans="2:18" x14ac:dyDescent="0.35">
      <c r="M48" s="11">
        <f t="shared" si="1"/>
        <v>390</v>
      </c>
      <c r="N48" s="83">
        <f>LOOKUP(M48,'ASI533-specs-DR-SNR'!$A$5:$A$50,'ASI533-specs-DR-SNR'!$O$5:$O$50)</f>
        <v>0.49843645308567286</v>
      </c>
      <c r="O48" s="54">
        <f t="shared" si="4"/>
        <v>481.50571354528927</v>
      </c>
      <c r="P48" s="55">
        <f>LOOKUP(M48,'ASI533-specs-DR-SNR'!$A$5:$A$50,'ASI533-specs-DR-SNR'!$AC$5:$AC$50)</f>
        <v>11.703575158720492</v>
      </c>
      <c r="Q48" s="56">
        <f ca="1">LOOKUP(M48,'ASI533-specs-DR-SNR'!$A$5:$A$50,'ASI533-specs-DR-SNR'!$AE$5:$AE89)</f>
        <v>21.739074773940292</v>
      </c>
    </row>
    <row r="49" spans="13:17" x14ac:dyDescent="0.35">
      <c r="M49" s="11">
        <f t="shared" si="1"/>
        <v>400</v>
      </c>
      <c r="N49" s="83">
        <f>LOOKUP(M49,'ASI533-specs-DR-SNR'!$A$5:$A$50,'ASI533-specs-DR-SNR'!$O$5:$O$50)</f>
        <v>0.49624632608463187</v>
      </c>
      <c r="O49" s="54">
        <f t="shared" si="4"/>
        <v>483.6307845210514</v>
      </c>
      <c r="P49" s="55">
        <f>LOOKUP(M49,'ASI533-specs-DR-SNR'!$A$5:$A$50,'ASI533-specs-DR-SNR'!$AC$5:$AC$50)</f>
        <v>11.539840625230743</v>
      </c>
      <c r="Q49" s="56">
        <f ca="1">LOOKUP(M49,'ASI533-specs-DR-SNR'!$A$5:$A$50,'ASI533-specs-DR-SNR'!$AE$5:$AE90)</f>
        <v>21.739074773940292</v>
      </c>
    </row>
    <row r="50" spans="13:17" x14ac:dyDescent="0.35">
      <c r="M50" s="11">
        <f t="shared" si="1"/>
        <v>410</v>
      </c>
      <c r="N50" s="83">
        <f>LOOKUP(M50,'ASI533-specs-DR-SNR'!$A$5:$A$50,'ASI533-specs-DR-SNR'!$O$5:$O$50)</f>
        <v>0.49467781833684338</v>
      </c>
      <c r="O50" s="54">
        <f t="shared" si="4"/>
        <v>485.1642647064794</v>
      </c>
      <c r="P50" s="55">
        <f>LOOKUP(M50,'ASI533-specs-DR-SNR'!$A$5:$A$50,'ASI533-specs-DR-SNR'!$AC$5:$AC$50)</f>
        <v>11.374022206209846</v>
      </c>
      <c r="Q50" s="56">
        <f ca="1">LOOKUP(M50,'ASI533-specs-DR-SNR'!$A$5:$A$50,'ASI533-specs-DR-SNR'!$AE$5:$AE91)</f>
        <v>21.739074773940295</v>
      </c>
    </row>
    <row r="51" spans="13:17" x14ac:dyDescent="0.35">
      <c r="M51" s="11">
        <f t="shared" si="1"/>
        <v>420</v>
      </c>
      <c r="N51" s="83">
        <f>LOOKUP(M51,'ASI533-specs-DR-SNR'!$A$5:$A$50,'ASI533-specs-DR-SNR'!$O$5:$O$50)</f>
        <v>0.49372799767130116</v>
      </c>
      <c r="O51" s="54">
        <f t="shared" si="4"/>
        <v>486.09761069247634</v>
      </c>
      <c r="P51" s="55">
        <f>LOOKUP(M51,'ASI533-specs-DR-SNR'!$A$5:$A$50,'ASI533-specs-DR-SNR'!$AC$5:$AC$50)</f>
        <v>11.206867836494371</v>
      </c>
      <c r="Q51" s="56">
        <f ca="1">LOOKUP(M51,'ASI533-specs-DR-SNR'!$A$5:$A$50,'ASI533-specs-DR-SNR'!$AE$5:$AE92)</f>
        <v>21.739074773940292</v>
      </c>
    </row>
    <row r="52" spans="13:17" x14ac:dyDescent="0.35">
      <c r="M52" s="11">
        <f t="shared" si="1"/>
        <v>430</v>
      </c>
      <c r="N52" s="83">
        <f>LOOKUP(M52,'ASI533-specs-DR-SNR'!$A$5:$A$50,'ASI533-specs-DR-SNR'!$O$5:$O$50)</f>
        <v>0.49339508623146094</v>
      </c>
      <c r="O52" s="54">
        <f t="shared" si="4"/>
        <v>486.42559826266989</v>
      </c>
      <c r="P52" s="55">
        <f>LOOKUP(M52,'ASI533-specs-DR-SNR'!$A$5:$A$50,'ASI533-specs-DR-SNR'!$AC$5:$AC$50)</f>
        <v>11.039751800171745</v>
      </c>
      <c r="Q52" s="56">
        <f ca="1">LOOKUP(M52,'ASI533-specs-DR-SNR'!$A$5:$A$50,'ASI533-specs-DR-SNR'!$AE$5:$AE93)</f>
        <v>21.739074773940292</v>
      </c>
    </row>
    <row r="53" spans="13:17" x14ac:dyDescent="0.35">
      <c r="M53" s="11">
        <f t="shared" si="1"/>
        <v>440</v>
      </c>
      <c r="N53" s="83">
        <f>LOOKUP(M53,'ASI533-specs-DR-SNR'!$A$5:$A$50,'ASI533-specs-DR-SNR'!$O$5:$O$50)</f>
        <v>0.49367846047524327</v>
      </c>
      <c r="O53" s="54">
        <f t="shared" si="4"/>
        <v>486.14638720304345</v>
      </c>
      <c r="P53" s="55">
        <f>LOOKUP(M53,'ASI533-specs-DR-SNR'!$A$5:$A$50,'ASI533-specs-DR-SNR'!$AC$5:$AC$50)</f>
        <v>10.874996534862152</v>
      </c>
      <c r="Q53" s="56">
        <f ca="1">LOOKUP(M53,'ASI533-specs-DR-SNR'!$A$5:$A$50,'ASI533-specs-DR-SNR'!$AE$5:$AE94)</f>
        <v>21.739074773940295</v>
      </c>
    </row>
    <row r="54" spans="13:17" ht="15" thickBot="1" x14ac:dyDescent="0.4">
      <c r="M54" s="57">
        <f t="shared" si="1"/>
        <v>450</v>
      </c>
      <c r="N54" s="84">
        <f>LOOKUP(M54,'ASI533-specs-DR-SNR'!$A$5:$A$50,'ASI533-specs-DR-SNR'!$O$5:$O$50)</f>
        <v>0.49457865117503136</v>
      </c>
      <c r="O54" s="58">
        <f>$D$21/N54</f>
        <v>485.26154420495601</v>
      </c>
      <c r="P54" s="59">
        <f>LOOKUP(M54,'ASI533-specs-DR-SNR'!$A$5:$A$50,'ASI533-specs-DR-SNR'!$AC$5:$AC$50)</f>
        <v>10.716290223601122</v>
      </c>
      <c r="Q54" s="60">
        <f ca="1">LOOKUP(M54,'ASI533-specs-DR-SNR'!$A$5:$A$50,'ASI533-specs-DR-SNR'!$AE$5:$AE95)</f>
        <v>21.739074773940292</v>
      </c>
    </row>
  </sheetData>
  <mergeCells count="8">
    <mergeCell ref="B1:O1"/>
    <mergeCell ref="B4:E4"/>
    <mergeCell ref="G4:K4"/>
    <mergeCell ref="P6:Q6"/>
    <mergeCell ref="M5:Q5"/>
    <mergeCell ref="G5:K5"/>
    <mergeCell ref="M4:Q4"/>
    <mergeCell ref="B2:O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Filters!$A$2:$A$23</xm:f>
          </x14:formula1>
          <xm:sqref>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3"/>
  <sheetViews>
    <sheetView topLeftCell="A4" workbookViewId="0">
      <selection activeCell="A2" sqref="A2:C23"/>
    </sheetView>
  </sheetViews>
  <sheetFormatPr defaultRowHeight="14.5" x14ac:dyDescent="0.35"/>
  <cols>
    <col min="1" max="1" width="18.81640625" customWidth="1"/>
    <col min="2" max="2" width="14.1796875" customWidth="1"/>
  </cols>
  <sheetData>
    <row r="1" spans="1:3" x14ac:dyDescent="0.35">
      <c r="A1" s="109" t="s">
        <v>122</v>
      </c>
      <c r="B1" s="125" t="s">
        <v>123</v>
      </c>
      <c r="C1" s="125" t="s">
        <v>124</v>
      </c>
    </row>
    <row r="2" spans="1:3" x14ac:dyDescent="0.35">
      <c r="A2" s="13" t="s">
        <v>125</v>
      </c>
      <c r="B2" s="43">
        <v>450</v>
      </c>
      <c r="C2" s="42">
        <v>100</v>
      </c>
    </row>
    <row r="3" spans="1:3" x14ac:dyDescent="0.35">
      <c r="A3" s="13" t="s">
        <v>126</v>
      </c>
      <c r="B3" s="43">
        <v>550</v>
      </c>
      <c r="C3" s="42">
        <v>100</v>
      </c>
    </row>
    <row r="4" spans="1:3" x14ac:dyDescent="0.35">
      <c r="A4" s="13" t="s">
        <v>127</v>
      </c>
      <c r="B4" s="43">
        <v>656</v>
      </c>
      <c r="C4" s="42">
        <v>12</v>
      </c>
    </row>
    <row r="5" spans="1:3" x14ac:dyDescent="0.35">
      <c r="A5" s="13" t="s">
        <v>128</v>
      </c>
      <c r="B5" s="43">
        <v>656</v>
      </c>
      <c r="C5" s="42">
        <v>3</v>
      </c>
    </row>
    <row r="6" spans="1:3" x14ac:dyDescent="0.35">
      <c r="A6" s="13" t="s">
        <v>129</v>
      </c>
      <c r="B6" s="43">
        <v>656</v>
      </c>
      <c r="C6" s="42">
        <v>6</v>
      </c>
    </row>
    <row r="7" spans="1:3" x14ac:dyDescent="0.35">
      <c r="A7" s="13" t="s">
        <v>130</v>
      </c>
      <c r="B7" s="43">
        <v>656</v>
      </c>
      <c r="C7" s="42">
        <v>7</v>
      </c>
    </row>
    <row r="8" spans="1:3" x14ac:dyDescent="0.35">
      <c r="A8" s="13" t="s">
        <v>131</v>
      </c>
      <c r="B8" s="43">
        <v>578.5</v>
      </c>
      <c r="C8" s="42">
        <v>20</v>
      </c>
    </row>
    <row r="9" spans="1:3" x14ac:dyDescent="0.35">
      <c r="A9" s="13" t="s">
        <v>154</v>
      </c>
      <c r="B9" s="43">
        <v>526</v>
      </c>
      <c r="C9" s="42">
        <v>53</v>
      </c>
    </row>
    <row r="10" spans="1:3" x14ac:dyDescent="0.35">
      <c r="A10" s="13" t="s">
        <v>155</v>
      </c>
      <c r="B10" s="43">
        <f>((7*500.6) + (7*656.3))/14</f>
        <v>578.44999999999993</v>
      </c>
      <c r="C10" s="42">
        <v>14</v>
      </c>
    </row>
    <row r="11" spans="1:3" x14ac:dyDescent="0.35">
      <c r="A11" s="13" t="s">
        <v>132</v>
      </c>
      <c r="B11" s="43">
        <v>550</v>
      </c>
      <c r="C11" s="42">
        <v>300</v>
      </c>
    </row>
    <row r="12" spans="1:3" x14ac:dyDescent="0.35">
      <c r="A12" s="13" t="s">
        <v>133</v>
      </c>
      <c r="B12" s="43">
        <v>500</v>
      </c>
      <c r="C12" s="42">
        <v>12</v>
      </c>
    </row>
    <row r="13" spans="1:3" x14ac:dyDescent="0.35">
      <c r="A13" s="13" t="s">
        <v>134</v>
      </c>
      <c r="B13" s="43">
        <v>500</v>
      </c>
      <c r="C13" s="42">
        <v>3</v>
      </c>
    </row>
    <row r="14" spans="1:3" x14ac:dyDescent="0.35">
      <c r="A14" s="13" t="s">
        <v>135</v>
      </c>
      <c r="B14" s="43">
        <v>500</v>
      </c>
      <c r="C14" s="42">
        <v>6</v>
      </c>
    </row>
    <row r="15" spans="1:3" x14ac:dyDescent="0.35">
      <c r="A15" s="13" t="s">
        <v>136</v>
      </c>
      <c r="B15" s="43">
        <v>500</v>
      </c>
      <c r="C15" s="42">
        <v>7</v>
      </c>
    </row>
    <row r="16" spans="1:3" x14ac:dyDescent="0.35">
      <c r="A16" s="13" t="s">
        <v>137</v>
      </c>
      <c r="B16" s="43">
        <v>552</v>
      </c>
      <c r="C16" s="42">
        <v>30</v>
      </c>
    </row>
    <row r="17" spans="1:3" x14ac:dyDescent="0.35">
      <c r="A17" s="13" t="s">
        <v>138</v>
      </c>
      <c r="B17" s="43">
        <v>650</v>
      </c>
      <c r="C17" s="42">
        <v>100</v>
      </c>
    </row>
    <row r="18" spans="1:3" x14ac:dyDescent="0.35">
      <c r="A18" s="13" t="s">
        <v>139</v>
      </c>
      <c r="B18" s="43">
        <v>672</v>
      </c>
      <c r="C18" s="42">
        <v>12</v>
      </c>
    </row>
    <row r="19" spans="1:3" x14ac:dyDescent="0.35">
      <c r="A19" s="13" t="s">
        <v>140</v>
      </c>
      <c r="B19" s="43">
        <v>672</v>
      </c>
      <c r="C19" s="42">
        <v>3</v>
      </c>
    </row>
    <row r="20" spans="1:3" x14ac:dyDescent="0.35">
      <c r="A20" s="13" t="s">
        <v>141</v>
      </c>
      <c r="B20" s="43">
        <v>672</v>
      </c>
      <c r="C20" s="42">
        <v>6</v>
      </c>
    </row>
    <row r="21" spans="1:3" x14ac:dyDescent="0.35">
      <c r="A21" s="13" t="s">
        <v>142</v>
      </c>
      <c r="B21" s="43">
        <v>672</v>
      </c>
      <c r="C21" s="42">
        <v>7</v>
      </c>
    </row>
    <row r="22" spans="1:3" x14ac:dyDescent="0.35">
      <c r="A22" s="13" t="s">
        <v>143</v>
      </c>
      <c r="B22" s="43">
        <v>547.79999999999995</v>
      </c>
      <c r="C22" s="42">
        <v>13</v>
      </c>
    </row>
    <row r="23" spans="1:3" x14ac:dyDescent="0.35">
      <c r="A23" s="13" t="s">
        <v>144</v>
      </c>
      <c r="B23" s="43">
        <v>552</v>
      </c>
      <c r="C23" s="42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="85" zoomScaleNormal="85" workbookViewId="0">
      <selection activeCell="E1" sqref="E1"/>
    </sheetView>
  </sheetViews>
  <sheetFormatPr defaultRowHeight="14.5" x14ac:dyDescent="0.35"/>
  <cols>
    <col min="1" max="1" width="46.54296875" customWidth="1"/>
    <col min="2" max="2" width="22.08984375" customWidth="1"/>
    <col min="3" max="3" width="38" customWidth="1"/>
    <col min="4" max="4" width="32.08984375" customWidth="1"/>
  </cols>
  <sheetData>
    <row r="1" spans="1:11" ht="28.5" x14ac:dyDescent="0.65">
      <c r="A1" s="145" t="s">
        <v>53</v>
      </c>
      <c r="B1" s="145"/>
      <c r="C1" s="145"/>
      <c r="D1" s="145"/>
    </row>
    <row r="2" spans="1:11" ht="19.5" customHeight="1" x14ac:dyDescent="0.35">
      <c r="A2" s="148" t="s">
        <v>16</v>
      </c>
      <c r="B2" s="148"/>
      <c r="C2" s="148"/>
      <c r="D2" s="148"/>
    </row>
    <row r="4" spans="1:11" x14ac:dyDescent="0.35">
      <c r="B4" s="143" t="s">
        <v>3</v>
      </c>
      <c r="C4" s="144"/>
    </row>
    <row r="5" spans="1:11" ht="7.5" customHeight="1" x14ac:dyDescent="0.35">
      <c r="B5" s="18"/>
      <c r="C5" s="19"/>
    </row>
    <row r="6" spans="1:11" ht="53.25" customHeight="1" x14ac:dyDescent="0.35">
      <c r="B6" s="146"/>
      <c r="C6" s="147"/>
    </row>
    <row r="7" spans="1:11" x14ac:dyDescent="0.35">
      <c r="B7" s="16"/>
      <c r="C7" s="17"/>
    </row>
    <row r="8" spans="1:11" x14ac:dyDescent="0.35">
      <c r="B8" s="18" t="s">
        <v>4</v>
      </c>
      <c r="C8" s="19" t="s">
        <v>5</v>
      </c>
    </row>
    <row r="9" spans="1:11" ht="12.9" customHeight="1" x14ac:dyDescent="0.35">
      <c r="B9" s="18"/>
      <c r="C9" s="19"/>
      <c r="E9" t="s">
        <v>70</v>
      </c>
      <c r="F9" t="s">
        <v>71</v>
      </c>
    </row>
    <row r="10" spans="1:11" x14ac:dyDescent="0.35">
      <c r="B10" s="18">
        <v>450</v>
      </c>
      <c r="C10" s="20">
        <v>0.57599999999999996</v>
      </c>
      <c r="D10" s="26"/>
      <c r="E10" s="12">
        <v>450</v>
      </c>
      <c r="F10" s="12">
        <v>0.57599999999999996</v>
      </c>
      <c r="G10" s="12"/>
      <c r="H10" s="12"/>
      <c r="I10" s="12"/>
      <c r="J10" s="12"/>
      <c r="K10" s="12"/>
    </row>
    <row r="11" spans="1:11" x14ac:dyDescent="0.35">
      <c r="B11" s="18" t="s">
        <v>15</v>
      </c>
      <c r="C11" s="19">
        <v>0.54900000000000004</v>
      </c>
      <c r="D11" s="26"/>
      <c r="E11" s="12">
        <v>550</v>
      </c>
      <c r="F11" s="51">
        <v>0.54</v>
      </c>
      <c r="G11" s="12"/>
      <c r="H11" s="12"/>
      <c r="I11" s="12"/>
      <c r="J11" s="12"/>
      <c r="K11" s="12"/>
    </row>
    <row r="12" spans="1:11" x14ac:dyDescent="0.35">
      <c r="B12" s="18">
        <v>550</v>
      </c>
      <c r="C12" s="20">
        <v>0.54</v>
      </c>
      <c r="D12" s="26"/>
      <c r="E12" s="12">
        <v>656</v>
      </c>
      <c r="F12" s="12">
        <v>0.49199999999999999</v>
      </c>
      <c r="G12" s="12"/>
      <c r="H12" s="12"/>
      <c r="I12" s="12"/>
      <c r="J12" s="12"/>
      <c r="K12" s="12"/>
    </row>
    <row r="13" spans="1:11" x14ac:dyDescent="0.35">
      <c r="B13" s="18">
        <v>650</v>
      </c>
      <c r="C13" s="20">
        <v>0.48399999999999999</v>
      </c>
      <c r="D13" s="26"/>
      <c r="E13" s="12"/>
      <c r="F13" s="12"/>
      <c r="G13" s="12"/>
      <c r="H13" s="12"/>
      <c r="I13" s="12"/>
      <c r="J13" s="12"/>
      <c r="K13" s="12"/>
    </row>
    <row r="14" spans="1:11" x14ac:dyDescent="0.35">
      <c r="B14" s="21" t="s">
        <v>14</v>
      </c>
      <c r="C14" s="22">
        <v>0.49199999999999999</v>
      </c>
      <c r="D14" s="26"/>
      <c r="E14" s="12"/>
      <c r="F14" s="12"/>
      <c r="G14" s="12"/>
      <c r="H14" s="12"/>
      <c r="I14" s="12"/>
      <c r="J14" s="12"/>
      <c r="K14" s="12"/>
    </row>
    <row r="16" spans="1:11" ht="27" customHeight="1" x14ac:dyDescent="0.35">
      <c r="A16" s="23" t="s">
        <v>13</v>
      </c>
      <c r="B16" s="25">
        <v>0.54</v>
      </c>
      <c r="C16" s="24" t="s">
        <v>2</v>
      </c>
    </row>
    <row r="18" spans="1:5" x14ac:dyDescent="0.35">
      <c r="A18" s="23" t="s">
        <v>17</v>
      </c>
      <c r="B18" s="14">
        <f>'Gain-Sub-Exp'!D6</f>
        <v>20.803386495011182</v>
      </c>
    </row>
    <row r="20" spans="1:5" x14ac:dyDescent="0.35">
      <c r="A20" s="23" t="s">
        <v>12</v>
      </c>
      <c r="B20" s="15">
        <f>'Gain-Sub-Exp'!D26</f>
        <v>0.49095398606089641</v>
      </c>
    </row>
    <row r="22" spans="1:5" x14ac:dyDescent="0.35">
      <c r="B22" s="13" t="s">
        <v>6</v>
      </c>
      <c r="C22" s="14">
        <f>'Gain-Sub-Exp'!D15</f>
        <v>100</v>
      </c>
      <c r="D22" t="s">
        <v>7</v>
      </c>
    </row>
    <row r="23" spans="1:5" x14ac:dyDescent="0.35">
      <c r="B23" s="13" t="s">
        <v>19</v>
      </c>
      <c r="C23" s="66">
        <f>'Gain-Sub-Exp'!D24</f>
        <v>1.2061518996719787</v>
      </c>
      <c r="D23" t="s">
        <v>8</v>
      </c>
    </row>
    <row r="24" spans="1:5" x14ac:dyDescent="0.35">
      <c r="B24" s="13" t="s">
        <v>9</v>
      </c>
      <c r="C24" s="14">
        <f>'Gain-Sub-Exp'!D8</f>
        <v>0.115</v>
      </c>
      <c r="D24" t="s">
        <v>10</v>
      </c>
    </row>
    <row r="25" spans="1:5" x14ac:dyDescent="0.35">
      <c r="B25" s="13" t="s">
        <v>0</v>
      </c>
      <c r="C25" s="14">
        <f>'Gain-Sub-Exp'!D17</f>
        <v>0.57999999999999996</v>
      </c>
      <c r="D25" t="s">
        <v>11</v>
      </c>
    </row>
    <row r="27" spans="1:5" ht="26" x14ac:dyDescent="0.6">
      <c r="B27" s="27" t="s">
        <v>20</v>
      </c>
      <c r="C27" s="28">
        <f>C25*B20*C22*C23^2*(PI()*C24^2/4)</f>
        <v>0.43028712999999918</v>
      </c>
      <c r="D27" s="29" t="s">
        <v>18</v>
      </c>
    </row>
    <row r="29" spans="1:5" x14ac:dyDescent="0.35">
      <c r="A29" t="s">
        <v>104</v>
      </c>
    </row>
    <row r="30" spans="1:5" ht="16.5" x14ac:dyDescent="0.45">
      <c r="A30" s="72" t="s">
        <v>86</v>
      </c>
      <c r="B30" s="68"/>
      <c r="C30" s="68"/>
      <c r="D30" s="68"/>
      <c r="E30" s="68"/>
    </row>
    <row r="31" spans="1:5" x14ac:dyDescent="0.35">
      <c r="A31" s="72" t="s">
        <v>81</v>
      </c>
      <c r="B31" s="68"/>
      <c r="C31" s="68"/>
      <c r="D31" s="68"/>
      <c r="E31" s="68"/>
    </row>
    <row r="32" spans="1:5" x14ac:dyDescent="0.35">
      <c r="A32" s="72" t="s">
        <v>84</v>
      </c>
      <c r="B32" s="5"/>
      <c r="C32" s="5"/>
      <c r="D32" s="5"/>
      <c r="E32" s="5"/>
    </row>
    <row r="33" spans="2:5" x14ac:dyDescent="0.35">
      <c r="B33" s="68"/>
      <c r="C33" s="68"/>
      <c r="D33" s="68"/>
      <c r="E33" s="68"/>
    </row>
  </sheetData>
  <mergeCells count="4">
    <mergeCell ref="B4:C4"/>
    <mergeCell ref="A1:D1"/>
    <mergeCell ref="B6:C6"/>
    <mergeCell ref="A2:D2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5"/>
  <sheetViews>
    <sheetView topLeftCell="A3" zoomScaleNormal="100" workbookViewId="0">
      <selection activeCell="J20" sqref="J20"/>
    </sheetView>
  </sheetViews>
  <sheetFormatPr defaultRowHeight="14.5" x14ac:dyDescent="0.35"/>
  <cols>
    <col min="1" max="1" width="9.08984375" style="30"/>
    <col min="2" max="2" width="9.08984375" style="12"/>
    <col min="3" max="3" width="9.453125" style="12" bestFit="1" customWidth="1"/>
    <col min="4" max="4" width="8.6328125" style="12" customWidth="1"/>
    <col min="5" max="5" width="9.08984375" style="12"/>
    <col min="6" max="6" width="1.08984375" style="12" customWidth="1"/>
    <col min="7" max="7" width="8.36328125" style="12" customWidth="1"/>
    <col min="8" max="8" width="7" style="12" customWidth="1"/>
    <col min="9" max="9" width="1.36328125" style="12" customWidth="1"/>
    <col min="10" max="10" width="10.453125" style="12" customWidth="1"/>
    <col min="11" max="11" width="9.08984375" style="12"/>
    <col min="12" max="12" width="9.08984375" style="30"/>
    <col min="13" max="13" width="1.36328125" style="30" customWidth="1"/>
    <col min="14" max="14" width="11.6328125" style="12" customWidth="1"/>
    <col min="15" max="15" width="12.453125" style="12" bestFit="1" customWidth="1"/>
    <col min="16" max="16" width="1.6328125" customWidth="1"/>
    <col min="17" max="17" width="7.90625" style="12" customWidth="1"/>
    <col min="18" max="18" width="9.08984375" style="12"/>
    <col min="19" max="19" width="1.6328125" style="12" customWidth="1"/>
    <col min="20" max="20" width="11.6328125" style="12" customWidth="1"/>
    <col min="21" max="21" width="10.54296875" style="12" customWidth="1"/>
    <col min="22" max="22" width="2" customWidth="1"/>
    <col min="23" max="25" width="9.08984375" style="12"/>
    <col min="26" max="26" width="2.36328125" style="12" customWidth="1"/>
    <col min="27" max="27" width="9.08984375" style="12"/>
    <col min="28" max="28" width="2.453125" customWidth="1"/>
    <col min="29" max="29" width="9.08984375" style="30"/>
    <col min="30" max="30" width="2.08984375" customWidth="1"/>
    <col min="32" max="32" width="1.36328125" customWidth="1"/>
    <col min="33" max="33" width="10.36328125" customWidth="1"/>
    <col min="34" max="34" width="10.90625" customWidth="1"/>
  </cols>
  <sheetData>
    <row r="1" spans="1:34" ht="43.5" customHeight="1" x14ac:dyDescent="0.35">
      <c r="A1" s="34" t="s">
        <v>106</v>
      </c>
      <c r="R1" s="31" t="s">
        <v>21</v>
      </c>
      <c r="S1" s="31"/>
      <c r="T1" s="31" t="s">
        <v>22</v>
      </c>
      <c r="Y1" s="32"/>
      <c r="AD1" s="33"/>
      <c r="AE1" s="31" t="s">
        <v>23</v>
      </c>
    </row>
    <row r="2" spans="1:34" ht="25.5" customHeight="1" x14ac:dyDescent="0.35">
      <c r="A2" s="158" t="s">
        <v>24</v>
      </c>
      <c r="B2" s="158"/>
      <c r="C2" s="158"/>
      <c r="D2" s="158"/>
      <c r="E2" s="158"/>
      <c r="F2" s="158"/>
      <c r="G2" s="158"/>
      <c r="H2" s="158"/>
      <c r="I2" s="30"/>
      <c r="J2" s="98"/>
      <c r="R2" s="67">
        <f>'Gain-Sub-Exp'!D12</f>
        <v>6.2060643749999953E-3</v>
      </c>
      <c r="S2" s="10"/>
      <c r="T2" s="67">
        <f>'Gain-Sub-Exp'!D27</f>
        <v>0.43028712999999918</v>
      </c>
      <c r="Y2" s="32"/>
      <c r="AE2" s="67">
        <f>'Gain-Sub-Exp'!D32</f>
        <v>0.14292602840962537</v>
      </c>
    </row>
    <row r="3" spans="1:34" ht="6.75" customHeight="1" x14ac:dyDescent="0.35">
      <c r="A3" s="34"/>
      <c r="Y3" s="32"/>
    </row>
    <row r="4" spans="1:34" ht="44.5" x14ac:dyDescent="0.45">
      <c r="A4" s="35" t="s">
        <v>25</v>
      </c>
      <c r="B4" s="36" t="s">
        <v>26</v>
      </c>
      <c r="C4" s="36" t="s">
        <v>27</v>
      </c>
      <c r="D4" s="12" t="s">
        <v>28</v>
      </c>
      <c r="E4" s="36" t="s">
        <v>29</v>
      </c>
      <c r="G4" s="36" t="s">
        <v>119</v>
      </c>
      <c r="H4" s="36" t="s">
        <v>30</v>
      </c>
      <c r="I4" s="36"/>
      <c r="J4" s="36" t="s">
        <v>118</v>
      </c>
      <c r="K4" s="36" t="s">
        <v>109</v>
      </c>
      <c r="L4" s="31" t="s">
        <v>31</v>
      </c>
      <c r="M4" s="37"/>
      <c r="N4" s="36" t="s">
        <v>32</v>
      </c>
      <c r="O4" s="36" t="s">
        <v>33</v>
      </c>
      <c r="Q4" s="12" t="s">
        <v>34</v>
      </c>
      <c r="R4" s="36" t="s">
        <v>35</v>
      </c>
      <c r="S4" s="36"/>
      <c r="T4" s="36" t="s">
        <v>36</v>
      </c>
      <c r="U4" s="36" t="s">
        <v>37</v>
      </c>
      <c r="W4" s="12" t="s">
        <v>38</v>
      </c>
      <c r="X4" s="12" t="s">
        <v>39</v>
      </c>
      <c r="Y4" s="12" t="s">
        <v>40</v>
      </c>
      <c r="Z4" s="36"/>
      <c r="AA4" s="12" t="s">
        <v>41</v>
      </c>
      <c r="AC4" s="30" t="s">
        <v>42</v>
      </c>
      <c r="AE4" s="35" t="s">
        <v>43</v>
      </c>
      <c r="AG4" s="30"/>
      <c r="AH4" s="38"/>
    </row>
    <row r="5" spans="1:34" x14ac:dyDescent="0.35">
      <c r="A5" s="87">
        <v>0</v>
      </c>
      <c r="B5" s="39">
        <f xml:space="preserve"> -0.00000000000083897*A5^5 + 0.0000000012097*A5^4 - 0.00000070441*A5^3 + 0.00021672*A5^2 - 0.0378*A5 + 3.1976</f>
        <v>3.1976</v>
      </c>
      <c r="C5" s="40">
        <f xml:space="preserve"> 1000*49.473*EXP(-0.011323*A5)</f>
        <v>49473</v>
      </c>
      <c r="D5" s="41">
        <f>+-0.014*A5 + 13.7</f>
        <v>13.7</v>
      </c>
      <c r="E5" s="41">
        <f xml:space="preserve"> 0.000006*A5^2 - 0.0069*A5 + 3.9</f>
        <v>3.9</v>
      </c>
      <c r="G5" s="12">
        <f>(B5-1)/SQRT(12)</f>
        <v>0.63439247578556079</v>
      </c>
      <c r="H5" s="42">
        <f xml:space="preserve"> 0.0004*A5^2 + 0.02*A5 + 7</f>
        <v>7</v>
      </c>
      <c r="I5" s="42"/>
      <c r="J5" s="42"/>
      <c r="K5" s="43">
        <f>IF(J5&gt;0,(J5/4),5*H5)</f>
        <v>35</v>
      </c>
      <c r="L5" s="40">
        <f t="shared" ref="L5:L50" si="0">K5*B5</f>
        <v>111.916</v>
      </c>
      <c r="M5" s="40"/>
      <c r="N5" s="42">
        <f>'Gain-Sub-Exp'!$D$19*E5^2/$T$2</f>
        <v>353.48489275056932</v>
      </c>
      <c r="O5" s="43">
        <f>N5/60</f>
        <v>5.8914148791761551</v>
      </c>
      <c r="Q5" s="43">
        <f>('Gain-Sub-Exp'!O9)</f>
        <v>40.737243076923001</v>
      </c>
      <c r="R5" s="43">
        <f t="shared" ref="R5:R20" si="1">$R$2*N5</f>
        <v>2.1937500000000023</v>
      </c>
      <c r="S5" s="43"/>
      <c r="T5" s="42">
        <f>$T$2*N5</f>
        <v>152.1</v>
      </c>
      <c r="U5" s="43">
        <f t="shared" ref="U5:U50" si="2">T5/E5^2</f>
        <v>10</v>
      </c>
      <c r="W5" s="42">
        <f t="shared" ref="W5:W50" si="3">C5-(L5+R5+T5)</f>
        <v>49206.790249999998</v>
      </c>
      <c r="X5" s="43">
        <f t="shared" ref="X5:X50" si="4">SQRT(T5+R5+E5^2)</f>
        <v>13.019360583377358</v>
      </c>
      <c r="Y5" s="43">
        <f t="shared" ref="Y5:Y20" si="5">20*LOG(W5/X5)/6</f>
        <v>11.924784605496077</v>
      </c>
      <c r="Z5" s="43"/>
      <c r="AA5" s="43">
        <f t="shared" ref="AA5:AA20" si="6">X5/SQRT(Q5)</f>
        <v>2.0398293584943934</v>
      </c>
      <c r="AC5" s="44">
        <f>LOG(SQRT(Q5)*(W5/X5))/LOG(2)</f>
        <v>14.558121323463361</v>
      </c>
      <c r="AE5" s="44">
        <f t="shared" ref="AE5:AE50" si="7">(Q5*$AE$2*N5)/SQRT(Q5*(($AE$2*N5)+T5+R5+E5^2))</f>
        <v>21.739074773940295</v>
      </c>
      <c r="AG5" s="45"/>
    </row>
    <row r="6" spans="1:34" x14ac:dyDescent="0.35">
      <c r="A6">
        <f>A5+10</f>
        <v>10</v>
      </c>
      <c r="B6" s="39">
        <f t="shared" ref="B6:B50" si="8" xml:space="preserve"> -0.00000000000083897*A6^5 + 0.0000000012097*A6^4 - 0.00000070441*A6^3 + 0.00021672*A6^2 - 0.0378*A6 + 3.1976</f>
        <v>2.840579603103</v>
      </c>
      <c r="C6" s="40">
        <f t="shared" ref="C6:C50" si="9" xml:space="preserve"> 1000*49.473*EXP(-0.011323*A6)</f>
        <v>44176.6808027722</v>
      </c>
      <c r="D6" s="41">
        <f t="shared" ref="D6:D14" si="10">+-0.014*A6 + 13.7</f>
        <v>13.559999999999999</v>
      </c>
      <c r="E6" s="41">
        <f t="shared" ref="E6:E14" si="11" xml:space="preserve"> 0.000006*A6^2 - 0.0069*A6 + 3.9</f>
        <v>3.8315999999999999</v>
      </c>
      <c r="G6" s="12">
        <f t="shared" ref="G6:G14" si="12">(B6-1)/SQRT(12)</f>
        <v>0.53132956465822578</v>
      </c>
      <c r="H6" s="42">
        <f t="shared" ref="H6:H14" si="13" xml:space="preserve"> 0.0004*A6^2 + 0.02*A6 + 7</f>
        <v>7.24</v>
      </c>
      <c r="I6" s="42"/>
      <c r="J6" s="42"/>
      <c r="K6" s="43">
        <f t="shared" ref="K6:K50" si="14">IF(J6&gt;0,(J6/4),5*H6)</f>
        <v>36.200000000000003</v>
      </c>
      <c r="L6" s="40">
        <f t="shared" si="0"/>
        <v>102.82898163232861</v>
      </c>
      <c r="M6" s="40"/>
      <c r="N6" s="42">
        <f>'Gain-Sub-Exp'!$D$19*E6^2/$T$2</f>
        <v>341.19446147506267</v>
      </c>
      <c r="O6" s="43">
        <f t="shared" ref="O6:O20" si="15">N6/60</f>
        <v>5.6865743579177108</v>
      </c>
      <c r="Q6" s="43">
        <f>('Gain-Sub-Exp'!O10)</f>
        <v>42.20467101882447</v>
      </c>
      <c r="R6" s="43">
        <f t="shared" si="1"/>
        <v>2.1174747923076946</v>
      </c>
      <c r="S6" s="43"/>
      <c r="T6" s="42">
        <f t="shared" ref="T6:T20" si="16">$T$2*N6</f>
        <v>146.8115856</v>
      </c>
      <c r="U6" s="43">
        <f t="shared" si="2"/>
        <v>10</v>
      </c>
      <c r="W6" s="42">
        <f t="shared" si="3"/>
        <v>43924.922760747562</v>
      </c>
      <c r="X6" s="43">
        <f t="shared" si="4"/>
        <v>12.791021028530432</v>
      </c>
      <c r="Y6" s="43">
        <f t="shared" si="5"/>
        <v>11.786019311895382</v>
      </c>
      <c r="Z6" s="43"/>
      <c r="AA6" s="43">
        <f t="shared" si="6"/>
        <v>1.9689058676791105</v>
      </c>
      <c r="AC6" s="44">
        <f t="shared" ref="AC6:AC20" si="17">LOG(SQRT(Q6)*(W6/X6))/LOG(2)</f>
        <v>14.445357990474216</v>
      </c>
      <c r="AE6" s="44">
        <f t="shared" si="7"/>
        <v>21.739074773940295</v>
      </c>
      <c r="AG6" s="45"/>
      <c r="AH6" s="45"/>
    </row>
    <row r="7" spans="1:34" x14ac:dyDescent="0.35">
      <c r="A7">
        <f t="shared" ref="A7:A50" si="18">A6+10</f>
        <v>20</v>
      </c>
      <c r="B7" s="39">
        <f t="shared" si="8"/>
        <v>2.5228435872960002</v>
      </c>
      <c r="C7" s="40">
        <f t="shared" si="9"/>
        <v>39447.357685000345</v>
      </c>
      <c r="D7" s="41">
        <f t="shared" si="10"/>
        <v>13.42</v>
      </c>
      <c r="E7" s="41">
        <f t="shared" si="11"/>
        <v>3.7643999999999997</v>
      </c>
      <c r="G7" s="12">
        <f t="shared" si="12"/>
        <v>0.43960707752952055</v>
      </c>
      <c r="H7" s="42">
        <f t="shared" si="13"/>
        <v>7.5600000000000005</v>
      </c>
      <c r="I7" s="42"/>
      <c r="J7" s="42"/>
      <c r="K7" s="43">
        <f t="shared" si="14"/>
        <v>37.800000000000004</v>
      </c>
      <c r="L7" s="40">
        <f t="shared" si="0"/>
        <v>95.363487599788826</v>
      </c>
      <c r="M7" s="40"/>
      <c r="N7" s="42">
        <f>'Gain-Sub-Exp'!$D$19*E7^2/$T$2</f>
        <v>329.33142480929013</v>
      </c>
      <c r="O7" s="43">
        <f t="shared" si="15"/>
        <v>5.4888570801548351</v>
      </c>
      <c r="Q7" s="43">
        <f>('Gain-Sub-Exp'!O11)</f>
        <v>43.724949747321503</v>
      </c>
      <c r="R7" s="43">
        <f t="shared" si="1"/>
        <v>2.043852023076925</v>
      </c>
      <c r="S7" s="43"/>
      <c r="T7" s="42">
        <f t="shared" si="16"/>
        <v>141.70707359999997</v>
      </c>
      <c r="U7" s="43">
        <f t="shared" si="2"/>
        <v>10</v>
      </c>
      <c r="W7" s="42">
        <f t="shared" si="3"/>
        <v>39208.243271777479</v>
      </c>
      <c r="X7" s="43">
        <f t="shared" si="4"/>
        <v>12.566687430786082</v>
      </c>
      <c r="Y7" s="43">
        <f t="shared" si="5"/>
        <v>11.647188570207151</v>
      </c>
      <c r="Z7" s="43"/>
      <c r="AA7" s="43">
        <f t="shared" si="6"/>
        <v>1.9004487116081901</v>
      </c>
      <c r="AC7" s="44">
        <f t="shared" si="17"/>
        <v>14.332529291826248</v>
      </c>
      <c r="AE7" s="44">
        <f t="shared" si="7"/>
        <v>21.739074773940295</v>
      </c>
      <c r="AG7" s="45"/>
      <c r="AH7" s="45"/>
    </row>
    <row r="8" spans="1:34" x14ac:dyDescent="0.35">
      <c r="A8">
        <f t="shared" si="18"/>
        <v>30</v>
      </c>
      <c r="B8" s="39">
        <f t="shared" si="8"/>
        <v>2.2405884000289999</v>
      </c>
      <c r="C8" s="40">
        <f t="shared" si="9"/>
        <v>35224.331028299137</v>
      </c>
      <c r="D8" s="41">
        <f t="shared" si="10"/>
        <v>13.28</v>
      </c>
      <c r="E8" s="41">
        <f t="shared" si="11"/>
        <v>3.6983999999999999</v>
      </c>
      <c r="G8" s="12">
        <f t="shared" si="12"/>
        <v>0.35812702335513513</v>
      </c>
      <c r="H8" s="42">
        <f t="shared" si="13"/>
        <v>7.96</v>
      </c>
      <c r="I8" s="42"/>
      <c r="J8" s="42"/>
      <c r="K8" s="43">
        <f t="shared" si="14"/>
        <v>39.799999999999997</v>
      </c>
      <c r="L8" s="40">
        <f t="shared" si="0"/>
        <v>89.175418321154197</v>
      </c>
      <c r="M8" s="40"/>
      <c r="N8" s="42">
        <f>'Gain-Sub-Exp'!$D$19*E8^2/$T$2</f>
        <v>317.88453816873454</v>
      </c>
      <c r="O8" s="43">
        <f t="shared" si="15"/>
        <v>5.2980756361455752</v>
      </c>
      <c r="Q8" s="43">
        <f>('Gain-Sub-Exp'!O12)</f>
        <v>45.299466538873986</v>
      </c>
      <c r="R8" s="43">
        <f t="shared" si="1"/>
        <v>1.9728119076923096</v>
      </c>
      <c r="S8" s="43"/>
      <c r="T8" s="42">
        <f t="shared" si="16"/>
        <v>136.78162559999998</v>
      </c>
      <c r="U8" s="43">
        <f t="shared" si="2"/>
        <v>10</v>
      </c>
      <c r="W8" s="42">
        <f t="shared" si="3"/>
        <v>34996.401172470287</v>
      </c>
      <c r="X8" s="43">
        <f t="shared" si="4"/>
        <v>12.346359790144312</v>
      </c>
      <c r="Y8" s="43">
        <f t="shared" si="5"/>
        <v>11.508281525169272</v>
      </c>
      <c r="Z8" s="43"/>
      <c r="AA8" s="43">
        <f t="shared" si="6"/>
        <v>1.8343930019820398</v>
      </c>
      <c r="AC8" s="44">
        <f t="shared" si="17"/>
        <v>14.219616194508333</v>
      </c>
      <c r="AE8" s="44">
        <f t="shared" si="7"/>
        <v>21.739074773940292</v>
      </c>
      <c r="AG8" s="45"/>
      <c r="AH8" s="45"/>
    </row>
    <row r="9" spans="1:34" x14ac:dyDescent="0.35">
      <c r="A9">
        <f t="shared" si="18"/>
        <v>40</v>
      </c>
      <c r="B9" s="39">
        <f t="shared" si="8"/>
        <v>1.990280681472</v>
      </c>
      <c r="C9" s="40">
        <f t="shared" si="9"/>
        <v>31453.399396203098</v>
      </c>
      <c r="D9" s="41">
        <f t="shared" si="10"/>
        <v>13.139999999999999</v>
      </c>
      <c r="E9" s="41">
        <f t="shared" si="11"/>
        <v>3.6335999999999999</v>
      </c>
      <c r="G9" s="12">
        <f t="shared" si="12"/>
        <v>0.28586940901057262</v>
      </c>
      <c r="H9" s="42">
        <f t="shared" si="13"/>
        <v>8.44</v>
      </c>
      <c r="I9" s="42"/>
      <c r="J9" s="42"/>
      <c r="K9" s="43">
        <f t="shared" si="14"/>
        <v>42.199999999999996</v>
      </c>
      <c r="L9" s="40">
        <f t="shared" si="0"/>
        <v>83.989844758118394</v>
      </c>
      <c r="M9" s="40"/>
      <c r="N9" s="42">
        <f>'Gain-Sub-Exp'!$D$19*E9^2/$T$2</f>
        <v>306.84275776503068</v>
      </c>
      <c r="O9" s="43">
        <f t="shared" si="15"/>
        <v>5.1140459627505113</v>
      </c>
      <c r="Q9" s="43">
        <f>('Gain-Sub-Exp'!O13)</f>
        <v>46.929574303418988</v>
      </c>
      <c r="R9" s="43">
        <f t="shared" si="1"/>
        <v>1.9042859076923102</v>
      </c>
      <c r="S9" s="43"/>
      <c r="T9" s="42">
        <f t="shared" si="16"/>
        <v>132.03048960000001</v>
      </c>
      <c r="U9" s="43">
        <f t="shared" si="2"/>
        <v>10</v>
      </c>
      <c r="W9" s="42">
        <f t="shared" si="3"/>
        <v>31235.474775937288</v>
      </c>
      <c r="X9" s="43">
        <f t="shared" si="4"/>
        <v>12.130038106605118</v>
      </c>
      <c r="Y9" s="43">
        <f t="shared" si="5"/>
        <v>11.369286487848909</v>
      </c>
      <c r="Z9" s="43"/>
      <c r="AA9" s="43">
        <f t="shared" si="6"/>
        <v>1.7706750092207011</v>
      </c>
      <c r="AC9" s="44">
        <f t="shared" si="17"/>
        <v>14.106598395180056</v>
      </c>
      <c r="AE9" s="44">
        <f t="shared" si="7"/>
        <v>21.739074773940299</v>
      </c>
      <c r="AG9" s="45"/>
      <c r="AH9" s="45"/>
    </row>
    <row r="10" spans="1:34" x14ac:dyDescent="0.35">
      <c r="A10" s="87">
        <f t="shared" si="18"/>
        <v>50</v>
      </c>
      <c r="B10" s="39">
        <f t="shared" si="8"/>
        <v>1.7686471968749999</v>
      </c>
      <c r="C10" s="40">
        <f t="shared" si="9"/>
        <v>28086.1638729847</v>
      </c>
      <c r="D10" s="41">
        <f t="shared" si="10"/>
        <v>13</v>
      </c>
      <c r="E10" s="41">
        <f t="shared" si="11"/>
        <v>3.57</v>
      </c>
      <c r="G10" s="12">
        <f t="shared" si="12"/>
        <v>0.22188933301381625</v>
      </c>
      <c r="H10" s="42">
        <f t="shared" si="13"/>
        <v>9</v>
      </c>
      <c r="I10" s="42"/>
      <c r="J10" s="42"/>
      <c r="K10" s="43">
        <f t="shared" si="14"/>
        <v>45</v>
      </c>
      <c r="L10" s="40">
        <f t="shared" si="0"/>
        <v>79.589123859374993</v>
      </c>
      <c r="M10" s="40"/>
      <c r="N10" s="42">
        <f>'Gain-Sub-Exp'!$D$19*E10^2/$T$2</f>
        <v>296.19524060596524</v>
      </c>
      <c r="O10" s="43">
        <f t="shared" si="15"/>
        <v>4.9365873434327536</v>
      </c>
      <c r="Q10" s="43">
        <f>('Gain-Sub-Exp'!O14)</f>
        <v>48.6165813148788</v>
      </c>
      <c r="R10" s="43">
        <f t="shared" si="1"/>
        <v>1.8382067307692329</v>
      </c>
      <c r="S10" s="43"/>
      <c r="T10" s="42">
        <f t="shared" si="16"/>
        <v>127.449</v>
      </c>
      <c r="U10" s="43">
        <f t="shared" si="2"/>
        <v>10</v>
      </c>
      <c r="W10" s="42">
        <f t="shared" si="3"/>
        <v>27877.287542394555</v>
      </c>
      <c r="X10" s="43">
        <f t="shared" si="4"/>
        <v>11.917722380168504</v>
      </c>
      <c r="Y10" s="43">
        <f t="shared" si="5"/>
        <v>11.230190834074861</v>
      </c>
      <c r="Z10" s="43"/>
      <c r="AA10" s="43">
        <f t="shared" si="6"/>
        <v>1.709232162463852</v>
      </c>
      <c r="AC10" s="44">
        <f t="shared" si="17"/>
        <v>13.993454204038498</v>
      </c>
      <c r="AE10" s="44">
        <f t="shared" si="7"/>
        <v>21.739074773940292</v>
      </c>
      <c r="AG10" s="45"/>
      <c r="AH10" s="45"/>
    </row>
    <row r="11" spans="1:34" x14ac:dyDescent="0.35">
      <c r="A11">
        <f t="shared" si="18"/>
        <v>60</v>
      </c>
      <c r="B11" s="39">
        <f t="shared" si="8"/>
        <v>1.5726647689280002</v>
      </c>
      <c r="C11" s="40">
        <f t="shared" si="9"/>
        <v>25079.406876300152</v>
      </c>
      <c r="D11" s="41">
        <f t="shared" si="10"/>
        <v>12.86</v>
      </c>
      <c r="E11" s="41">
        <f t="shared" si="11"/>
        <v>3.5076000000000001</v>
      </c>
      <c r="G11" s="12">
        <f t="shared" si="12"/>
        <v>0.1653140792479979</v>
      </c>
      <c r="H11" s="42">
        <f t="shared" si="13"/>
        <v>9.64</v>
      </c>
      <c r="I11" s="42"/>
      <c r="J11" s="42"/>
      <c r="K11" s="43">
        <f t="shared" si="14"/>
        <v>48.2</v>
      </c>
      <c r="L11" s="40">
        <f t="shared" si="0"/>
        <v>75.802441862329616</v>
      </c>
      <c r="M11" s="40"/>
      <c r="N11" s="42">
        <f>'Gain-Sub-Exp'!$D$19*E11^2/$T$2</f>
        <v>285.93134449547733</v>
      </c>
      <c r="O11" s="43">
        <f t="shared" si="15"/>
        <v>4.7655224082579553</v>
      </c>
      <c r="Q11" s="43">
        <f>('Gain-Sub-Exp'!O15)</f>
        <v>50.361739897417124</v>
      </c>
      <c r="R11" s="43">
        <f t="shared" si="1"/>
        <v>1.7745083307692329</v>
      </c>
      <c r="S11" s="43"/>
      <c r="T11" s="42">
        <f t="shared" si="16"/>
        <v>123.03257760000001</v>
      </c>
      <c r="U11" s="43">
        <f t="shared" si="2"/>
        <v>10</v>
      </c>
      <c r="W11" s="42">
        <f t="shared" si="3"/>
        <v>24878.797348507054</v>
      </c>
      <c r="X11" s="43">
        <f t="shared" si="4"/>
        <v>11.709412610834466</v>
      </c>
      <c r="Y11" s="43">
        <f t="shared" si="5"/>
        <v>11.090980909371382</v>
      </c>
      <c r="Z11" s="43"/>
      <c r="AA11" s="43">
        <f t="shared" si="6"/>
        <v>1.6500030495708062</v>
      </c>
      <c r="AC11" s="44">
        <f t="shared" si="17"/>
        <v>13.880160435327221</v>
      </c>
      <c r="AE11" s="44">
        <f t="shared" si="7"/>
        <v>21.739074773940292</v>
      </c>
      <c r="AG11" s="45"/>
      <c r="AH11" s="45"/>
    </row>
    <row r="12" spans="1:34" x14ac:dyDescent="0.35">
      <c r="A12">
        <f t="shared" si="18"/>
        <v>70</v>
      </c>
      <c r="B12" s="39">
        <f t="shared" si="8"/>
        <v>1.399550210121</v>
      </c>
      <c r="C12" s="40">
        <f t="shared" si="9"/>
        <v>22394.537470886386</v>
      </c>
      <c r="D12" s="41">
        <f t="shared" si="10"/>
        <v>12.719999999999999</v>
      </c>
      <c r="E12" s="41">
        <f t="shared" si="11"/>
        <v>3.4463999999999997</v>
      </c>
      <c r="G12" s="12">
        <f t="shared" si="12"/>
        <v>0.11534021068406546</v>
      </c>
      <c r="H12" s="42">
        <f t="shared" si="13"/>
        <v>10.36</v>
      </c>
      <c r="I12" s="42"/>
      <c r="J12" s="42"/>
      <c r="K12" s="43">
        <f t="shared" si="14"/>
        <v>51.8</v>
      </c>
      <c r="L12" s="40">
        <f t="shared" si="0"/>
        <v>72.496700884267796</v>
      </c>
      <c r="M12" s="40"/>
      <c r="N12" s="42">
        <f>'Gain-Sub-Exp'!$D$19*E12^2/$T$2</f>
        <v>276.04062803365792</v>
      </c>
      <c r="O12" s="43">
        <f t="shared" si="15"/>
        <v>4.6006771338942984</v>
      </c>
      <c r="Q12" s="43">
        <f>('Gain-Sub-Exp'!O16)</f>
        <v>52.166234016262976</v>
      </c>
      <c r="R12" s="43">
        <f t="shared" si="1"/>
        <v>1.7131259076923095</v>
      </c>
      <c r="S12" s="43"/>
      <c r="T12" s="42">
        <f t="shared" si="16"/>
        <v>118.77672959999998</v>
      </c>
      <c r="U12" s="43">
        <f t="shared" si="2"/>
        <v>10</v>
      </c>
      <c r="W12" s="42">
        <f t="shared" si="3"/>
        <v>22201.550914494426</v>
      </c>
      <c r="X12" s="43">
        <f t="shared" si="4"/>
        <v>11.505108798603006</v>
      </c>
      <c r="Y12" s="43">
        <f t="shared" si="5"/>
        <v>10.951641945643841</v>
      </c>
      <c r="Z12" s="43"/>
      <c r="AA12" s="43">
        <f t="shared" si="6"/>
        <v>1.5929274171205126</v>
      </c>
      <c r="AC12" s="44">
        <f t="shared" si="17"/>
        <v>13.766692309814522</v>
      </c>
      <c r="AE12" s="44">
        <f t="shared" si="7"/>
        <v>21.739074773940292</v>
      </c>
      <c r="AG12" s="45"/>
      <c r="AH12" s="45"/>
    </row>
    <row r="13" spans="1:34" x14ac:dyDescent="0.35">
      <c r="A13">
        <f t="shared" si="18"/>
        <v>80</v>
      </c>
      <c r="B13" s="39">
        <f t="shared" si="8"/>
        <v>1.2467502551039999</v>
      </c>
      <c r="C13" s="40">
        <f t="shared" si="9"/>
        <v>19997.096064056543</v>
      </c>
      <c r="D13" s="41">
        <f t="shared" si="10"/>
        <v>12.579999999999998</v>
      </c>
      <c r="E13" s="41">
        <f t="shared" si="11"/>
        <v>3.3864000000000001</v>
      </c>
      <c r="G13" s="12">
        <f t="shared" si="12"/>
        <v>7.1230663103451608E-2</v>
      </c>
      <c r="H13" s="42">
        <f t="shared" si="13"/>
        <v>11.16</v>
      </c>
      <c r="I13" s="42"/>
      <c r="J13" s="42"/>
      <c r="K13" s="43">
        <f t="shared" si="14"/>
        <v>55.8</v>
      </c>
      <c r="L13" s="40">
        <f t="shared" si="0"/>
        <v>69.568664234803194</v>
      </c>
      <c r="M13" s="40"/>
      <c r="N13" s="42">
        <f>'Gain-Sub-Exp'!$D$19*E13^2/$T$2</f>
        <v>266.51285061675031</v>
      </c>
      <c r="O13" s="43">
        <f t="shared" si="15"/>
        <v>4.4418808436125055</v>
      </c>
      <c r="Q13" s="43">
        <f>('Gain-Sub-Exp'!O17)</f>
        <v>54.031165726816781</v>
      </c>
      <c r="R13" s="43">
        <f t="shared" si="1"/>
        <v>1.6539959076923096</v>
      </c>
      <c r="S13" s="43"/>
      <c r="T13" s="42">
        <f t="shared" si="16"/>
        <v>114.6770496</v>
      </c>
      <c r="U13" s="43">
        <f t="shared" si="2"/>
        <v>10</v>
      </c>
      <c r="W13" s="42">
        <f t="shared" si="3"/>
        <v>19811.196354314048</v>
      </c>
      <c r="X13" s="43">
        <f t="shared" si="4"/>
        <v>11.304810943474124</v>
      </c>
      <c r="Y13" s="43">
        <f t="shared" si="5"/>
        <v>10.812157995383124</v>
      </c>
      <c r="Z13" s="43"/>
      <c r="AA13" s="43">
        <f t="shared" si="6"/>
        <v>1.537946170411556</v>
      </c>
      <c r="AC13" s="44">
        <f t="shared" si="17"/>
        <v>13.653023375093223</v>
      </c>
      <c r="AE13" s="44">
        <f t="shared" si="7"/>
        <v>21.739074773940295</v>
      </c>
      <c r="AG13" s="45"/>
      <c r="AH13" s="45"/>
    </row>
    <row r="14" spans="1:34" x14ac:dyDescent="0.35">
      <c r="A14">
        <f t="shared" si="18"/>
        <v>90</v>
      </c>
      <c r="B14" s="39">
        <f t="shared" si="8"/>
        <v>1.1119314930469995</v>
      </c>
      <c r="C14" s="40">
        <f t="shared" si="9"/>
        <v>17856.312125890854</v>
      </c>
      <c r="D14" s="41">
        <f t="shared" si="10"/>
        <v>12.44</v>
      </c>
      <c r="E14" s="41">
        <f t="shared" si="11"/>
        <v>3.3275999999999999</v>
      </c>
      <c r="G14" s="12">
        <f t="shared" si="12"/>
        <v>3.2311838820740929E-2</v>
      </c>
      <c r="H14" s="42">
        <f t="shared" si="13"/>
        <v>12.04</v>
      </c>
      <c r="I14" s="42"/>
      <c r="J14" s="42"/>
      <c r="K14" s="43">
        <f t="shared" si="14"/>
        <v>60.199999999999996</v>
      </c>
      <c r="L14" s="40">
        <f t="shared" si="0"/>
        <v>66.938275881429362</v>
      </c>
      <c r="M14" s="40"/>
      <c r="N14" s="42">
        <f>'Gain-Sub-Exp'!$D$19*E14^2/$T$2</f>
        <v>257.33797243714963</v>
      </c>
      <c r="O14" s="43">
        <f t="shared" si="15"/>
        <v>4.288966207285827</v>
      </c>
      <c r="Q14" s="43">
        <f>('Gain-Sub-Exp'!O18)</f>
        <v>55.957540442333872</v>
      </c>
      <c r="R14" s="43">
        <f t="shared" si="1"/>
        <v>1.5970560230769251</v>
      </c>
      <c r="S14" s="43"/>
      <c r="T14" s="42">
        <f t="shared" si="16"/>
        <v>110.72921760000001</v>
      </c>
      <c r="U14" s="43">
        <f t="shared" si="2"/>
        <v>10.000000000000002</v>
      </c>
      <c r="W14" s="42">
        <f t="shared" si="3"/>
        <v>17677.047576386347</v>
      </c>
      <c r="X14" s="43">
        <f t="shared" si="4"/>
        <v>11.108519045447819</v>
      </c>
      <c r="Y14" s="43">
        <f t="shared" si="5"/>
        <v>10.672511889449217</v>
      </c>
      <c r="Z14" s="43"/>
      <c r="AA14" s="43">
        <f t="shared" si="6"/>
        <v>1.485001373462157</v>
      </c>
      <c r="AC14" s="44">
        <f t="shared" si="17"/>
        <v>13.539125449857972</v>
      </c>
      <c r="AE14" s="44">
        <f t="shared" si="7"/>
        <v>21.739074773940295</v>
      </c>
      <c r="AG14" s="45"/>
      <c r="AH14" s="45"/>
    </row>
    <row r="15" spans="1:34" s="105" customFormat="1" x14ac:dyDescent="0.35">
      <c r="A15" s="87">
        <f t="shared" si="18"/>
        <v>100</v>
      </c>
      <c r="B15" s="101">
        <f t="shared" si="8"/>
        <v>0.9929702999999992</v>
      </c>
      <c r="C15" s="102">
        <f t="shared" si="9"/>
        <v>15944.709257577892</v>
      </c>
      <c r="D15" s="103">
        <f xml:space="preserve"> -0.0151*A15 + 14.951</f>
        <v>13.441000000000001</v>
      </c>
      <c r="E15" s="103">
        <f xml:space="preserve"> 0.0000035238*A15^2 - 0.0030333*A15 + 1.7814</f>
        <v>1.5133080000000001</v>
      </c>
      <c r="F15" s="104"/>
      <c r="G15" s="104">
        <v>0</v>
      </c>
      <c r="H15" s="102">
        <v>15</v>
      </c>
      <c r="I15" s="102"/>
      <c r="J15" s="102">
        <v>590</v>
      </c>
      <c r="K15" s="43">
        <f>IF(J15&gt;0,(J15/4),5*H15)</f>
        <v>147.5</v>
      </c>
      <c r="L15" s="102">
        <f t="shared" si="0"/>
        <v>146.46311924999989</v>
      </c>
      <c r="M15" s="102"/>
      <c r="N15" s="102">
        <f>'Gain-Sub-Exp'!$D$19*E15^2/$T$2</f>
        <v>53.222626083750278</v>
      </c>
      <c r="O15" s="103">
        <f t="shared" si="15"/>
        <v>0.88704376806250462</v>
      </c>
      <c r="Q15" s="103">
        <f>('Gain-Sub-Exp'!O19)</f>
        <v>270.56162124244656</v>
      </c>
      <c r="R15" s="103">
        <f t="shared" si="1"/>
        <v>0.33030304368230812</v>
      </c>
      <c r="S15" s="103"/>
      <c r="T15" s="102">
        <f t="shared" si="16"/>
        <v>22.901011028640003</v>
      </c>
      <c r="U15" s="103">
        <f t="shared" si="2"/>
        <v>10</v>
      </c>
      <c r="W15" s="102">
        <f t="shared" si="3"/>
        <v>15775.01482425557</v>
      </c>
      <c r="X15" s="103">
        <f t="shared" si="4"/>
        <v>5.0518724424896471</v>
      </c>
      <c r="Y15" s="103">
        <f t="shared" si="5"/>
        <v>11.648391332516118</v>
      </c>
      <c r="Z15" s="103"/>
      <c r="AA15" s="103">
        <f t="shared" si="6"/>
        <v>0.30712790687326602</v>
      </c>
      <c r="AC15" s="106">
        <f t="shared" si="17"/>
        <v>15.648442228062452</v>
      </c>
      <c r="AE15" s="106">
        <f t="shared" si="7"/>
        <v>21.739074773940295</v>
      </c>
      <c r="AG15" s="107"/>
      <c r="AH15" s="107"/>
    </row>
    <row r="16" spans="1:34" x14ac:dyDescent="0.35">
      <c r="A16">
        <f t="shared" si="18"/>
        <v>110</v>
      </c>
      <c r="B16" s="39">
        <f t="shared" si="8"/>
        <v>0.88794277125299947</v>
      </c>
      <c r="C16" s="40">
        <f t="shared" si="9"/>
        <v>14237.752539062223</v>
      </c>
      <c r="D16" s="41">
        <f t="shared" ref="D16:D50" si="19" xml:space="preserve"> -0.0151*A16 + 14.951</f>
        <v>13.290000000000001</v>
      </c>
      <c r="E16" s="41">
        <f t="shared" ref="E16:E50" si="20" xml:space="preserve"> 0.0000035238*A16^2 - 0.0030333*A16 + 1.7814</f>
        <v>1.4903749800000001</v>
      </c>
      <c r="G16" s="12">
        <v>0</v>
      </c>
      <c r="H16" s="42">
        <f t="shared" ref="H16:H50" si="21" xml:space="preserve"> 4.8101*EXP(0.0052*A16)</f>
        <v>8.522569449218695</v>
      </c>
      <c r="I16" s="42"/>
      <c r="J16" s="42"/>
      <c r="K16" s="43">
        <f t="shared" si="14"/>
        <v>42.612847246093473</v>
      </c>
      <c r="L16" s="40">
        <f t="shared" si="0"/>
        <v>37.837769674676984</v>
      </c>
      <c r="M16" s="40"/>
      <c r="N16" s="42">
        <f>'Gain-Sub-Exp'!$D$19*E16^2/$T$2</f>
        <v>51.621752688954579</v>
      </c>
      <c r="O16" s="43">
        <f t="shared" si="15"/>
        <v>0.86036254481590968</v>
      </c>
      <c r="Q16" s="43">
        <f>('Gain-Sub-Exp'!O20)</f>
        <v>278.95217132139612</v>
      </c>
      <c r="R16" s="43">
        <f t="shared" si="1"/>
        <v>0.32036792033798123</v>
      </c>
      <c r="S16" s="43"/>
      <c r="T16" s="42">
        <f t="shared" si="16"/>
        <v>22.212175810100007</v>
      </c>
      <c r="U16" s="43">
        <f t="shared" si="2"/>
        <v>10</v>
      </c>
      <c r="W16" s="42">
        <f t="shared" si="3"/>
        <v>14177.382225657107</v>
      </c>
      <c r="X16" s="43">
        <f t="shared" si="4"/>
        <v>4.9753151971958509</v>
      </c>
      <c r="Y16" s="43">
        <f t="shared" si="5"/>
        <v>11.515918162450333</v>
      </c>
      <c r="Z16" s="43"/>
      <c r="AA16" s="43">
        <f t="shared" si="6"/>
        <v>0.29788986412545021</v>
      </c>
      <c r="AC16" s="44">
        <f t="shared" si="17"/>
        <v>15.538452610142132</v>
      </c>
      <c r="AE16" s="44">
        <f t="shared" si="7"/>
        <v>21.739074773940292</v>
      </c>
      <c r="AG16" s="45"/>
      <c r="AH16" s="45"/>
    </row>
    <row r="17" spans="1:34" x14ac:dyDescent="0.35">
      <c r="A17" s="33">
        <f t="shared" si="18"/>
        <v>120</v>
      </c>
      <c r="B17" s="39">
        <f t="shared" si="8"/>
        <v>0.79511465369600032</v>
      </c>
      <c r="C17" s="40">
        <f t="shared" si="9"/>
        <v>12713.533629798301</v>
      </c>
      <c r="D17" s="41">
        <f t="shared" si="19"/>
        <v>13.139000000000001</v>
      </c>
      <c r="E17" s="41">
        <f t="shared" si="20"/>
        <v>1.46814672</v>
      </c>
      <c r="G17" s="12">
        <v>0</v>
      </c>
      <c r="H17" s="42">
        <f t="shared" si="21"/>
        <v>8.9774679216924618</v>
      </c>
      <c r="I17" s="42"/>
      <c r="J17" s="42"/>
      <c r="K17" s="43">
        <f t="shared" si="14"/>
        <v>44.887339608462312</v>
      </c>
      <c r="L17" s="40">
        <f t="shared" si="0"/>
        <v>35.690581488117267</v>
      </c>
      <c r="M17" s="40"/>
      <c r="N17" s="42">
        <f>'Gain-Sub-Exp'!$D$19*E17^2/$T$2</f>
        <v>50.09340603440225</v>
      </c>
      <c r="O17" s="43">
        <f t="shared" si="15"/>
        <v>0.83489010057337087</v>
      </c>
      <c r="Q17" s="43">
        <f>('Gain-Sub-Exp'!O21)</f>
        <v>287.46298445169862</v>
      </c>
      <c r="R17" s="43">
        <f t="shared" si="1"/>
        <v>0.31088290261251361</v>
      </c>
      <c r="S17" s="43"/>
      <c r="T17" s="42">
        <f t="shared" si="16"/>
        <v>21.554547914467584</v>
      </c>
      <c r="U17" s="43">
        <f t="shared" si="2"/>
        <v>10</v>
      </c>
      <c r="W17" s="42">
        <f t="shared" si="3"/>
        <v>12655.977617493103</v>
      </c>
      <c r="X17" s="43">
        <f t="shared" si="4"/>
        <v>4.9011106505083983</v>
      </c>
      <c r="Y17" s="43">
        <f t="shared" si="5"/>
        <v>11.373337301886631</v>
      </c>
      <c r="Z17" s="43"/>
      <c r="AA17" s="43">
        <f t="shared" si="6"/>
        <v>0.28907034612100635</v>
      </c>
      <c r="AC17" s="44">
        <f>LOG(SQRT(Q17)*(W17/X17))/LOG(2)</f>
        <v>15.418038808366122</v>
      </c>
      <c r="AE17" s="44">
        <f t="shared" si="7"/>
        <v>21.739074773940295</v>
      </c>
      <c r="AG17" s="45"/>
      <c r="AH17" s="45"/>
    </row>
    <row r="18" spans="1:34" x14ac:dyDescent="0.35">
      <c r="A18" s="33">
        <f t="shared" si="18"/>
        <v>130</v>
      </c>
      <c r="B18" s="39">
        <f t="shared" si="8"/>
        <v>0.71293127817900004</v>
      </c>
      <c r="C18" s="40">
        <f t="shared" si="9"/>
        <v>11352.489580961525</v>
      </c>
      <c r="D18" s="41">
        <f t="shared" si="19"/>
        <v>12.988</v>
      </c>
      <c r="E18" s="41">
        <f t="shared" si="20"/>
        <v>1.4466232200000002</v>
      </c>
      <c r="G18" s="12">
        <v>0</v>
      </c>
      <c r="H18" s="42">
        <f t="shared" si="21"/>
        <v>9.4566469379027094</v>
      </c>
      <c r="I18" s="42"/>
      <c r="J18" s="42"/>
      <c r="K18" s="43">
        <f t="shared" si="14"/>
        <v>47.283234689513549</v>
      </c>
      <c r="L18" s="40">
        <f t="shared" si="0"/>
        <v>33.70969694363253</v>
      </c>
      <c r="M18" s="40"/>
      <c r="N18" s="42">
        <f>'Gain-Sub-Exp'!$D$19*E18^2/$T$2</f>
        <v>48.635401682666483</v>
      </c>
      <c r="O18" s="43">
        <f t="shared" si="15"/>
        <v>0.81059002804444136</v>
      </c>
      <c r="Q18" s="43">
        <f>('Gain-Sub-Exp'!O22)</f>
        <v>296.08062238194935</v>
      </c>
      <c r="R18" s="43">
        <f t="shared" si="1"/>
        <v>0.30183443374661129</v>
      </c>
      <c r="S18" s="43"/>
      <c r="T18" s="42">
        <f t="shared" si="16"/>
        <v>20.927187406431692</v>
      </c>
      <c r="U18" s="43">
        <f t="shared" si="2"/>
        <v>10</v>
      </c>
      <c r="W18" s="42">
        <f t="shared" si="3"/>
        <v>11297.550862177713</v>
      </c>
      <c r="X18" s="43">
        <f t="shared" si="4"/>
        <v>4.8292588024272902</v>
      </c>
      <c r="Y18" s="43">
        <f t="shared" si="5"/>
        <v>11.230346083797214</v>
      </c>
      <c r="Z18" s="43"/>
      <c r="AA18" s="43">
        <f t="shared" si="6"/>
        <v>0.28065674728700524</v>
      </c>
      <c r="AC18" s="44">
        <f t="shared" si="17"/>
        <v>15.296843782908995</v>
      </c>
      <c r="AE18" s="44">
        <f t="shared" si="7"/>
        <v>21.739074773940295</v>
      </c>
      <c r="AG18" s="45"/>
      <c r="AH18" s="45"/>
    </row>
    <row r="19" spans="1:34" x14ac:dyDescent="0.35">
      <c r="A19">
        <f t="shared" si="18"/>
        <v>140</v>
      </c>
      <c r="B19" s="39">
        <f t="shared" si="8"/>
        <v>0.64000749187200023</v>
      </c>
      <c r="C19" s="40">
        <f t="shared" si="9"/>
        <v>10137.151750145216</v>
      </c>
      <c r="D19" s="41">
        <f t="shared" si="19"/>
        <v>12.837</v>
      </c>
      <c r="E19" s="41">
        <f t="shared" si="20"/>
        <v>1.42580448</v>
      </c>
      <c r="G19" s="12">
        <v>0</v>
      </c>
      <c r="H19" s="42">
        <f t="shared" si="21"/>
        <v>9.9614024899000029</v>
      </c>
      <c r="I19" s="42"/>
      <c r="J19" s="42"/>
      <c r="K19" s="43">
        <f t="shared" si="14"/>
        <v>49.807012449500014</v>
      </c>
      <c r="L19" s="40">
        <f t="shared" si="0"/>
        <v>31.876861115441994</v>
      </c>
      <c r="M19" s="40"/>
      <c r="N19" s="42">
        <f>'Gain-Sub-Exp'!$D$19*E19^2/$T$2</f>
        <v>47.245624455188199</v>
      </c>
      <c r="O19" s="43">
        <f t="shared" si="15"/>
        <v>0.78742707425313663</v>
      </c>
      <c r="Q19" s="43">
        <f>('Gain-Sub-Exp'!O23)</f>
        <v>304.79012958455434</v>
      </c>
      <c r="R19" s="43">
        <f t="shared" si="1"/>
        <v>0.29320938680597203</v>
      </c>
      <c r="S19" s="43"/>
      <c r="T19" s="42">
        <f t="shared" si="16"/>
        <v>20.329184151880707</v>
      </c>
      <c r="U19" s="43">
        <f t="shared" si="2"/>
        <v>10</v>
      </c>
      <c r="W19" s="42">
        <f t="shared" si="3"/>
        <v>10084.652495491087</v>
      </c>
      <c r="X19" s="43">
        <f t="shared" si="4"/>
        <v>4.7597596529525257</v>
      </c>
      <c r="Y19" s="43">
        <f t="shared" si="5"/>
        <v>11.086919714200134</v>
      </c>
      <c r="Z19" s="43"/>
      <c r="AA19" s="43">
        <f t="shared" si="6"/>
        <v>0.27263686171758844</v>
      </c>
      <c r="AC19" s="44">
        <f t="shared" si="17"/>
        <v>15.174821211654244</v>
      </c>
      <c r="AE19" s="44">
        <f t="shared" si="7"/>
        <v>21.739074773940292</v>
      </c>
      <c r="AG19" s="45"/>
      <c r="AH19" s="45"/>
    </row>
    <row r="20" spans="1:34" x14ac:dyDescent="0.35">
      <c r="A20" s="87">
        <f t="shared" si="18"/>
        <v>150</v>
      </c>
      <c r="B20" s="39">
        <f t="shared" si="8"/>
        <v>0.57511759062499967</v>
      </c>
      <c r="C20" s="40">
        <f t="shared" si="9"/>
        <v>9051.9215959296762</v>
      </c>
      <c r="D20" s="41">
        <f t="shared" si="19"/>
        <v>12.686</v>
      </c>
      <c r="E20" s="41">
        <f t="shared" si="20"/>
        <v>1.4056905000000002</v>
      </c>
      <c r="G20" s="12">
        <v>0</v>
      </c>
      <c r="H20" s="42">
        <f t="shared" si="21"/>
        <v>10.493099744272897</v>
      </c>
      <c r="I20" s="42"/>
      <c r="J20" s="42"/>
      <c r="K20" s="43">
        <f t="shared" si="14"/>
        <v>52.465498721364483</v>
      </c>
      <c r="L20" s="40">
        <f t="shared" si="0"/>
        <v>30.173831215570143</v>
      </c>
      <c r="M20" s="40"/>
      <c r="N20" s="42">
        <f>'Gain-Sub-Exp'!$D$19*E20^2/$T$2</f>
        <v>45.922028432276235</v>
      </c>
      <c r="O20" s="43">
        <f t="shared" si="15"/>
        <v>0.76536714053793731</v>
      </c>
      <c r="Q20" s="43">
        <f>('Gain-Sub-Exp'!O24)</f>
        <v>313.57499857038061</v>
      </c>
      <c r="R20" s="43">
        <f t="shared" si="1"/>
        <v>0.28499506468128644</v>
      </c>
      <c r="S20" s="43"/>
      <c r="T20" s="42">
        <f t="shared" si="16"/>
        <v>19.759657817902504</v>
      </c>
      <c r="U20" s="43">
        <f t="shared" si="2"/>
        <v>10</v>
      </c>
      <c r="W20" s="42">
        <f t="shared" si="3"/>
        <v>9001.7031118315226</v>
      </c>
      <c r="X20" s="43">
        <f t="shared" si="4"/>
        <v>4.6926132020841056</v>
      </c>
      <c r="Y20" s="43">
        <f t="shared" si="5"/>
        <v>10.94303309040265</v>
      </c>
      <c r="Z20" s="43"/>
      <c r="AA20" s="43">
        <f t="shared" si="6"/>
        <v>0.26499888317396963</v>
      </c>
      <c r="AC20" s="44">
        <f t="shared" si="17"/>
        <v>15.051924083537465</v>
      </c>
      <c r="AE20" s="44">
        <f t="shared" si="7"/>
        <v>21.739074773940292</v>
      </c>
      <c r="AG20" s="45"/>
      <c r="AH20" s="45"/>
    </row>
    <row r="21" spans="1:34" x14ac:dyDescent="0.35">
      <c r="A21">
        <f t="shared" si="18"/>
        <v>160</v>
      </c>
      <c r="B21" s="39">
        <f t="shared" si="8"/>
        <v>0.5171852513280002</v>
      </c>
      <c r="C21" s="40">
        <f t="shared" si="9"/>
        <v>8082.8704747055099</v>
      </c>
      <c r="D21" s="41">
        <f t="shared" si="19"/>
        <v>12.535</v>
      </c>
      <c r="E21" s="41">
        <f t="shared" si="20"/>
        <v>1.3862812800000002</v>
      </c>
      <c r="G21" s="12">
        <v>0</v>
      </c>
      <c r="H21" s="42">
        <f t="shared" si="21"/>
        <v>11.053176734390261</v>
      </c>
      <c r="I21" s="42"/>
      <c r="J21" s="42"/>
      <c r="K21" s="43">
        <f t="shared" si="14"/>
        <v>55.265883671951308</v>
      </c>
      <c r="L21" s="40">
        <f t="shared" si="0"/>
        <v>28.582699936742159</v>
      </c>
      <c r="M21" s="40"/>
      <c r="N21" s="42">
        <f>'Gain-Sub-Exp'!$D$19*E21^2/$T$2</f>
        <v>44.66263695310716</v>
      </c>
      <c r="O21" s="43">
        <f t="shared" ref="O21:O45" si="22">N21/60</f>
        <v>0.74437728255178603</v>
      </c>
      <c r="Q21" s="43">
        <f>('Gain-Sub-Exp'!O25)</f>
        <v>322.41714736008657</v>
      </c>
      <c r="R21" s="43">
        <f t="shared" ref="R21:R45" si="23">$R$2*N21</f>
        <v>0.27717920008823671</v>
      </c>
      <c r="S21" s="43"/>
      <c r="T21" s="42">
        <f t="shared" ref="T21:T45" si="24">$T$2*N21</f>
        <v>19.217757872784389</v>
      </c>
      <c r="U21" s="43">
        <f t="shared" si="2"/>
        <v>10</v>
      </c>
      <c r="W21" s="42">
        <f t="shared" si="3"/>
        <v>8034.7928376958953</v>
      </c>
      <c r="X21" s="43">
        <f t="shared" si="4"/>
        <v>4.6278194498220291</v>
      </c>
      <c r="Y21" s="43">
        <f t="shared" ref="Y21:Y45" si="25">20*LOG(W21/X21)/6</f>
        <v>10.798660922523618</v>
      </c>
      <c r="Z21" s="43"/>
      <c r="AA21" s="43">
        <f t="shared" ref="AA21:AA45" si="26">X21/SQRT(Q21)</f>
        <v>0.25773140508443365</v>
      </c>
      <c r="AC21" s="44">
        <f t="shared" ref="AC21:AC45" si="27">LOG(SQRT(Q21)*(W21/X21))/LOG(2)</f>
        <v>14.928104863530692</v>
      </c>
      <c r="AE21" s="44">
        <f t="shared" si="7"/>
        <v>21.739074773940292</v>
      </c>
      <c r="AG21" s="45"/>
      <c r="AH21" s="45"/>
    </row>
    <row r="22" spans="1:34" x14ac:dyDescent="0.35">
      <c r="A22">
        <f t="shared" si="18"/>
        <v>170</v>
      </c>
      <c r="B22" s="39">
        <f t="shared" si="8"/>
        <v>0.46527346427099925</v>
      </c>
      <c r="C22" s="40">
        <f t="shared" si="9"/>
        <v>7217.560870196211</v>
      </c>
      <c r="D22" s="41">
        <f t="shared" si="19"/>
        <v>12.384</v>
      </c>
      <c r="E22" s="41">
        <f t="shared" si="20"/>
        <v>1.36757682</v>
      </c>
      <c r="G22" s="12">
        <v>0</v>
      </c>
      <c r="H22" s="42">
        <f t="shared" si="21"/>
        <v>11.64314824971979</v>
      </c>
      <c r="I22" s="42"/>
      <c r="J22" s="42"/>
      <c r="K22" s="43">
        <f t="shared" si="14"/>
        <v>58.215741248598945</v>
      </c>
      <c r="L22" s="40">
        <f t="shared" si="0"/>
        <v>27.08623960583974</v>
      </c>
      <c r="M22" s="40"/>
      <c r="N22" s="42">
        <f>'Gain-Sub-Exp'!$D$19*E22^2/$T$2</f>
        <v>43.465542615725361</v>
      </c>
      <c r="O22" s="43">
        <f t="shared" si="22"/>
        <v>0.72442571026208935</v>
      </c>
      <c r="Q22" s="43">
        <f>('Gain-Sub-Exp'!O26)</f>
        <v>331.29691091881682</v>
      </c>
      <c r="R22" s="43">
        <f t="shared" si="23"/>
        <v>0.26974995556749726</v>
      </c>
      <c r="S22" s="43"/>
      <c r="T22" s="42">
        <f t="shared" si="24"/>
        <v>18.702663586013124</v>
      </c>
      <c r="U22" s="43">
        <f t="shared" si="2"/>
        <v>10</v>
      </c>
      <c r="W22" s="42">
        <f t="shared" si="3"/>
        <v>7171.502217048791</v>
      </c>
      <c r="X22" s="43">
        <f t="shared" si="4"/>
        <v>4.5653783961662953</v>
      </c>
      <c r="Y22" s="43">
        <f t="shared" si="25"/>
        <v>10.653777858829464</v>
      </c>
      <c r="Z22" s="43"/>
      <c r="AA22" s="43">
        <f t="shared" si="26"/>
        <v>0.25082342054433659</v>
      </c>
      <c r="AC22" s="44">
        <f t="shared" si="27"/>
        <v>14.803315666414491</v>
      </c>
      <c r="AE22" s="44">
        <f t="shared" si="7"/>
        <v>21.739074773940295</v>
      </c>
      <c r="AG22" s="45"/>
      <c r="AH22" s="45"/>
    </row>
    <row r="23" spans="1:34" x14ac:dyDescent="0.35">
      <c r="A23">
        <f t="shared" si="18"/>
        <v>180</v>
      </c>
      <c r="B23" s="39">
        <f t="shared" si="8"/>
        <v>0.4185744655039989</v>
      </c>
      <c r="C23" s="40">
        <f t="shared" si="9"/>
        <v>6444.8867612078666</v>
      </c>
      <c r="D23" s="41">
        <f t="shared" si="19"/>
        <v>12.233000000000001</v>
      </c>
      <c r="E23" s="41">
        <f t="shared" si="20"/>
        <v>1.3495771200000002</v>
      </c>
      <c r="G23" s="12">
        <v>0</v>
      </c>
      <c r="H23" s="42">
        <f t="shared" si="21"/>
        <v>12.264609932741768</v>
      </c>
      <c r="I23" s="42"/>
      <c r="J23" s="42"/>
      <c r="K23" s="43">
        <f t="shared" si="14"/>
        <v>61.323049663708844</v>
      </c>
      <c r="L23" s="40">
        <f t="shared" si="0"/>
        <v>25.668262736062108</v>
      </c>
      <c r="M23" s="40"/>
      <c r="N23" s="42">
        <f>'Gain-Sub-Exp'!$D$19*E23^2/$T$2</f>
        <v>42.328907277043086</v>
      </c>
      <c r="O23" s="43">
        <f t="shared" si="22"/>
        <v>0.70548178795071814</v>
      </c>
      <c r="Q23" s="43">
        <f>('Gain-Sub-Exp'!O27)</f>
        <v>340.19304835232026</v>
      </c>
      <c r="R23" s="43">
        <f t="shared" si="23"/>
        <v>0.26269592348473514</v>
      </c>
      <c r="S23" s="43"/>
      <c r="T23" s="42">
        <f t="shared" si="24"/>
        <v>18.213584028274951</v>
      </c>
      <c r="U23" s="43">
        <f t="shared" si="2"/>
        <v>10.000000000000002</v>
      </c>
      <c r="W23" s="42">
        <f t="shared" si="3"/>
        <v>6400.7422185200448</v>
      </c>
      <c r="X23" s="43">
        <f t="shared" si="4"/>
        <v>4.5052900411169068</v>
      </c>
      <c r="Y23" s="43">
        <f t="shared" si="25"/>
        <v>10.508358605754113</v>
      </c>
      <c r="Z23" s="43"/>
      <c r="AA23" s="43">
        <f t="shared" si="26"/>
        <v>0.24426432231610662</v>
      </c>
      <c r="AC23" s="44">
        <f t="shared" si="27"/>
        <v>14.677508430302105</v>
      </c>
      <c r="AE23" s="44">
        <f t="shared" si="7"/>
        <v>21.739074773940292</v>
      </c>
      <c r="AG23" s="45"/>
      <c r="AH23" s="45"/>
    </row>
    <row r="24" spans="1:34" x14ac:dyDescent="0.35">
      <c r="A24">
        <f t="shared" si="18"/>
        <v>190</v>
      </c>
      <c r="B24" s="39">
        <f t="shared" si="8"/>
        <v>0.37639966919699885</v>
      </c>
      <c r="C24" s="40">
        <f t="shared" si="9"/>
        <v>5754.9310787680597</v>
      </c>
      <c r="D24" s="41">
        <f t="shared" si="19"/>
        <v>12.082000000000001</v>
      </c>
      <c r="E24" s="41">
        <f t="shared" si="20"/>
        <v>1.33228218</v>
      </c>
      <c r="G24" s="12">
        <v>0</v>
      </c>
      <c r="H24" s="42">
        <f t="shared" si="21"/>
        <v>12.919242594538646</v>
      </c>
      <c r="I24" s="42"/>
      <c r="J24" s="42"/>
      <c r="K24" s="43">
        <f t="shared" si="14"/>
        <v>64.596212972693237</v>
      </c>
      <c r="L24" s="40">
        <f t="shared" si="0"/>
        <v>24.313993194300622</v>
      </c>
      <c r="M24" s="40"/>
      <c r="N24" s="42">
        <f>'Gain-Sub-Exp'!$D$19*E24^2/$T$2</f>
        <v>41.250962052840293</v>
      </c>
      <c r="O24" s="43">
        <f t="shared" si="22"/>
        <v>0.68751603421400487</v>
      </c>
      <c r="Q24" s="43">
        <f>('Gain-Sub-Exp'!O28)</f>
        <v>349.08276761047085</v>
      </c>
      <c r="R24" s="43">
        <f t="shared" si="23"/>
        <v>0.25600612603060879</v>
      </c>
      <c r="S24" s="43"/>
      <c r="T24" s="42">
        <f t="shared" si="24"/>
        <v>17.749758071455524</v>
      </c>
      <c r="U24" s="43">
        <f t="shared" si="2"/>
        <v>10</v>
      </c>
      <c r="W24" s="42">
        <f t="shared" si="3"/>
        <v>5712.6113213762728</v>
      </c>
      <c r="X24" s="43">
        <f t="shared" si="4"/>
        <v>4.447554384673861</v>
      </c>
      <c r="Y24" s="43">
        <f t="shared" si="25"/>
        <v>10.362378029654392</v>
      </c>
      <c r="Z24" s="43"/>
      <c r="AA24" s="43">
        <f t="shared" si="26"/>
        <v>0.23804390282924259</v>
      </c>
      <c r="AC24" s="44">
        <f t="shared" si="27"/>
        <v>14.550635077024968</v>
      </c>
      <c r="AE24" s="44">
        <f t="shared" si="7"/>
        <v>21.739074773940295</v>
      </c>
      <c r="AG24" s="45"/>
      <c r="AH24" s="45"/>
    </row>
    <row r="25" spans="1:34" x14ac:dyDescent="0.35">
      <c r="A25" s="87">
        <f t="shared" si="18"/>
        <v>200</v>
      </c>
      <c r="B25" s="39">
        <f t="shared" si="8"/>
        <v>0.33816959999999829</v>
      </c>
      <c r="C25" s="40">
        <f t="shared" si="9"/>
        <v>5138.8384231538448</v>
      </c>
      <c r="D25" s="41">
        <f t="shared" si="19"/>
        <v>11.931000000000001</v>
      </c>
      <c r="E25" s="41">
        <f t="shared" si="20"/>
        <v>1.3156920000000001</v>
      </c>
      <c r="G25" s="12">
        <v>0</v>
      </c>
      <c r="H25" s="42">
        <f t="shared" si="21"/>
        <v>13.608816760732438</v>
      </c>
      <c r="I25" s="42"/>
      <c r="J25" s="42"/>
      <c r="K25" s="43">
        <f t="shared" si="14"/>
        <v>68.04408380366219</v>
      </c>
      <c r="L25" s="40">
        <f t="shared" si="0"/>
        <v>23.010440602250807</v>
      </c>
      <c r="M25" s="40"/>
      <c r="N25" s="42">
        <f>'Gain-Sub-Exp'!$D$19*E25^2/$T$2</f>
        <v>40.230007317764851</v>
      </c>
      <c r="O25" s="43">
        <f t="shared" si="22"/>
        <v>0.67050012196274755</v>
      </c>
      <c r="Q25" s="43">
        <f>('Gain-Sub-Exp'!O29)</f>
        <v>357.94176934293563</v>
      </c>
      <c r="R25" s="43">
        <f t="shared" si="23"/>
        <v>0.24967001522076956</v>
      </c>
      <c r="S25" s="43"/>
      <c r="T25" s="42">
        <f t="shared" si="24"/>
        <v>17.310454388640004</v>
      </c>
      <c r="U25" s="43">
        <f t="shared" si="2"/>
        <v>10.000000000000002</v>
      </c>
      <c r="W25" s="42">
        <f t="shared" si="3"/>
        <v>5098.267858147733</v>
      </c>
      <c r="X25" s="43">
        <f t="shared" si="4"/>
        <v>4.3921714268371597</v>
      </c>
      <c r="Y25" s="43">
        <f t="shared" si="25"/>
        <v>10.215811222757729</v>
      </c>
      <c r="Z25" s="43"/>
      <c r="AA25" s="43">
        <f t="shared" si="26"/>
        <v>0.23215235418031549</v>
      </c>
      <c r="AC25" s="44">
        <f t="shared" si="27"/>
        <v>14.422647641854613</v>
      </c>
      <c r="AE25" s="44">
        <f t="shared" si="7"/>
        <v>21.739074773940292</v>
      </c>
      <c r="AG25" s="45"/>
      <c r="AH25" s="45"/>
    </row>
    <row r="26" spans="1:34" x14ac:dyDescent="0.35">
      <c r="A26">
        <f t="shared" si="18"/>
        <v>210</v>
      </c>
      <c r="B26" s="39">
        <f t="shared" si="8"/>
        <v>0.30340382540300004</v>
      </c>
      <c r="C26" s="40">
        <f t="shared" si="9"/>
        <v>4588.7014071652939</v>
      </c>
      <c r="D26" s="41">
        <f t="shared" si="19"/>
        <v>11.780000000000001</v>
      </c>
      <c r="E26" s="41">
        <f t="shared" si="20"/>
        <v>1.29980658</v>
      </c>
      <c r="G26" s="12">
        <v>0</v>
      </c>
      <c r="H26" s="42">
        <f t="shared" si="21"/>
        <v>14.335197460064851</v>
      </c>
      <c r="I26" s="42"/>
      <c r="J26" s="42"/>
      <c r="K26" s="43">
        <f t="shared" si="14"/>
        <v>71.675987300324252</v>
      </c>
      <c r="L26" s="40">
        <f t="shared" si="0"/>
        <v>21.746768736455227</v>
      </c>
      <c r="M26" s="40"/>
      <c r="N26" s="42">
        <f>'Gain-Sub-Exp'!$D$19*E26^2/$T$2</f>
        <v>39.264412705332361</v>
      </c>
      <c r="O26" s="43">
        <f t="shared" si="22"/>
        <v>0.65440687842220602</v>
      </c>
      <c r="Q26" s="43">
        <f>('Gain-Sub-Exp'!O30)</f>
        <v>366.74431139637005</v>
      </c>
      <c r="R26" s="43">
        <f t="shared" si="23"/>
        <v>0.24367747289586036</v>
      </c>
      <c r="S26" s="43"/>
      <c r="T26" s="42">
        <f t="shared" si="24"/>
        <v>16.894971454112966</v>
      </c>
      <c r="U26" s="43">
        <f t="shared" si="2"/>
        <v>10</v>
      </c>
      <c r="W26" s="42">
        <f t="shared" si="3"/>
        <v>4549.8159895018298</v>
      </c>
      <c r="X26" s="43">
        <f t="shared" si="4"/>
        <v>4.3391411676068028</v>
      </c>
      <c r="Y26" s="43">
        <f t="shared" si="25"/>
        <v>10.068633510425334</v>
      </c>
      <c r="Z26" s="43"/>
      <c r="AA26" s="43">
        <f t="shared" si="26"/>
        <v>0.22658026813296736</v>
      </c>
      <c r="AC26" s="44">
        <f t="shared" si="27"/>
        <v>14.293498349659814</v>
      </c>
      <c r="AE26" s="44">
        <f t="shared" si="7"/>
        <v>21.739074773940295</v>
      </c>
      <c r="AG26" s="45"/>
      <c r="AH26" s="45"/>
    </row>
    <row r="27" spans="1:34" x14ac:dyDescent="0.35">
      <c r="A27">
        <f t="shared" si="18"/>
        <v>220</v>
      </c>
      <c r="B27" s="39">
        <f t="shared" si="8"/>
        <v>0.27171088809599864</v>
      </c>
      <c r="C27" s="40">
        <f t="shared" si="9"/>
        <v>4097.4591668904814</v>
      </c>
      <c r="D27" s="41">
        <f t="shared" si="19"/>
        <v>11.629000000000001</v>
      </c>
      <c r="E27" s="41">
        <f t="shared" si="20"/>
        <v>1.2846259200000001</v>
      </c>
      <c r="G27" s="12">
        <v>0</v>
      </c>
      <c r="H27" s="42">
        <f t="shared" si="21"/>
        <v>15.100349268571515</v>
      </c>
      <c r="I27" s="42"/>
      <c r="J27" s="42"/>
      <c r="K27" s="43">
        <f t="shared" si="14"/>
        <v>75.501746342857572</v>
      </c>
      <c r="L27" s="40">
        <f t="shared" si="0"/>
        <v>20.514646551616647</v>
      </c>
      <c r="M27" s="40"/>
      <c r="N27" s="42">
        <f>'Gain-Sub-Exp'!$D$19*E27^2/$T$2</f>
        <v>38.352617107926278</v>
      </c>
      <c r="O27" s="43">
        <f t="shared" si="22"/>
        <v>0.63921028513210465</v>
      </c>
      <c r="Q27" s="43">
        <f>('Gain-Sub-Exp'!O31)</f>
        <v>375.46329522904898</v>
      </c>
      <c r="R27" s="43">
        <f t="shared" si="23"/>
        <v>0.23801881072151662</v>
      </c>
      <c r="S27" s="43"/>
      <c r="T27" s="42">
        <f t="shared" si="24"/>
        <v>16.502637543358468</v>
      </c>
      <c r="U27" s="43">
        <f t="shared" si="2"/>
        <v>10</v>
      </c>
      <c r="W27" s="42">
        <f t="shared" si="3"/>
        <v>4060.2038639847847</v>
      </c>
      <c r="X27" s="43">
        <f t="shared" si="4"/>
        <v>4.2884636069827886</v>
      </c>
      <c r="Y27" s="43">
        <f t="shared" si="25"/>
        <v>9.9208203709335194</v>
      </c>
      <c r="Z27" s="43"/>
      <c r="AA27" s="43">
        <f t="shared" si="26"/>
        <v>0.22131863611791183</v>
      </c>
      <c r="AC27" s="44">
        <f t="shared" si="27"/>
        <v>14.16313960863121</v>
      </c>
      <c r="AE27" s="44">
        <f t="shared" si="7"/>
        <v>21.739074773940295</v>
      </c>
      <c r="AG27" s="45"/>
      <c r="AH27" s="45"/>
    </row>
    <row r="28" spans="1:34" x14ac:dyDescent="0.35">
      <c r="A28">
        <f t="shared" si="18"/>
        <v>230</v>
      </c>
      <c r="B28" s="39">
        <f t="shared" si="8"/>
        <v>0.24277823832899736</v>
      </c>
      <c r="C28" s="40">
        <f t="shared" si="9"/>
        <v>3658.8067373741997</v>
      </c>
      <c r="D28" s="41">
        <f t="shared" si="19"/>
        <v>11.478</v>
      </c>
      <c r="E28" s="41">
        <f t="shared" si="20"/>
        <v>1.27015002</v>
      </c>
      <c r="G28" s="12">
        <v>0</v>
      </c>
      <c r="H28" s="42">
        <f t="shared" si="21"/>
        <v>15.906341622992665</v>
      </c>
      <c r="I28" s="42"/>
      <c r="J28" s="42"/>
      <c r="K28" s="43">
        <f t="shared" si="14"/>
        <v>79.531708114963322</v>
      </c>
      <c r="L28" s="40">
        <f t="shared" si="0"/>
        <v>19.308567987446818</v>
      </c>
      <c r="M28" s="40"/>
      <c r="N28" s="42">
        <f>'Gain-Sub-Exp'!$D$19*E28^2/$T$2</f>
        <v>37.493128676797831</v>
      </c>
      <c r="O28" s="43">
        <f t="shared" si="22"/>
        <v>0.62488547794663052</v>
      </c>
      <c r="Q28" s="43">
        <f>('Gain-Sub-Exp'!O32)</f>
        <v>384.07037524481825</v>
      </c>
      <c r="R28" s="43">
        <f t="shared" si="23"/>
        <v>0.23268477018836572</v>
      </c>
      <c r="S28" s="43"/>
      <c r="T28" s="42">
        <f t="shared" si="24"/>
        <v>16.132810733060005</v>
      </c>
      <c r="U28" s="43">
        <f t="shared" si="2"/>
        <v>10</v>
      </c>
      <c r="W28" s="42">
        <f t="shared" si="3"/>
        <v>3623.1326738835046</v>
      </c>
      <c r="X28" s="43">
        <f t="shared" si="4"/>
        <v>4.2401387449651189</v>
      </c>
      <c r="Y28" s="43">
        <f t="shared" si="25"/>
        <v>9.7723472328014207</v>
      </c>
      <c r="Z28" s="43"/>
      <c r="AA28" s="43">
        <f t="shared" si="26"/>
        <v>0.21635884923293394</v>
      </c>
      <c r="AC28" s="44">
        <f t="shared" si="27"/>
        <v>14.03152388648186</v>
      </c>
      <c r="AE28" s="44">
        <f t="shared" si="7"/>
        <v>21.739074773940292</v>
      </c>
      <c r="AG28" s="45"/>
      <c r="AH28" s="45"/>
    </row>
    <row r="29" spans="1:34" x14ac:dyDescent="0.35">
      <c r="A29">
        <f t="shared" si="18"/>
        <v>240</v>
      </c>
      <c r="B29" s="39">
        <f t="shared" si="8"/>
        <v>0.21636216627199945</v>
      </c>
      <c r="C29" s="40">
        <f t="shared" si="9"/>
        <v>3267.1141300509853</v>
      </c>
      <c r="D29" s="41">
        <f t="shared" si="19"/>
        <v>11.327</v>
      </c>
      <c r="E29" s="41">
        <f t="shared" si="20"/>
        <v>1.2563788800000002</v>
      </c>
      <c r="G29" s="12">
        <v>0</v>
      </c>
      <c r="H29" s="42">
        <f t="shared" si="21"/>
        <v>16.755354417791139</v>
      </c>
      <c r="I29" s="42"/>
      <c r="J29" s="42"/>
      <c r="K29" s="43">
        <f t="shared" si="14"/>
        <v>83.776772088955695</v>
      </c>
      <c r="L29" s="40">
        <f t="shared" si="0"/>
        <v>18.126123892442035</v>
      </c>
      <c r="M29" s="40"/>
      <c r="N29" s="42">
        <f>'Gain-Sub-Exp'!$D$19*E29^2/$T$2</f>
        <v>36.684524822066095</v>
      </c>
      <c r="O29" s="43">
        <f t="shared" si="22"/>
        <v>0.61140874703443493</v>
      </c>
      <c r="Q29" s="43">
        <f>('Gain-Sub-Exp'!O33)</f>
        <v>392.53609171293562</v>
      </c>
      <c r="R29" s="43">
        <f t="shared" si="23"/>
        <v>0.22766652261202744</v>
      </c>
      <c r="S29" s="43"/>
      <c r="T29" s="42">
        <f t="shared" si="24"/>
        <v>15.784878901100551</v>
      </c>
      <c r="U29" s="43">
        <f t="shared" si="2"/>
        <v>10.000000000000002</v>
      </c>
      <c r="W29" s="42">
        <f t="shared" si="3"/>
        <v>3232.9754607348309</v>
      </c>
      <c r="X29" s="43">
        <f t="shared" si="4"/>
        <v>4.1941665815537936</v>
      </c>
      <c r="Y29" s="43">
        <f t="shared" si="25"/>
        <v>9.623189108869342</v>
      </c>
      <c r="Z29" s="43"/>
      <c r="AA29" s="43">
        <f t="shared" si="26"/>
        <v>0.21169269824289033</v>
      </c>
      <c r="AC29" s="44">
        <f t="shared" si="27"/>
        <v>13.898603428153574</v>
      </c>
      <c r="AE29" s="44">
        <f t="shared" si="7"/>
        <v>21.739074773940295</v>
      </c>
      <c r="AG29" s="45"/>
      <c r="AH29" s="45"/>
    </row>
    <row r="30" spans="1:34" x14ac:dyDescent="0.35">
      <c r="A30" s="87">
        <f t="shared" si="18"/>
        <v>250</v>
      </c>
      <c r="B30" s="39">
        <f t="shared" si="8"/>
        <v>0.19227773437499929</v>
      </c>
      <c r="C30" s="40">
        <f t="shared" si="9"/>
        <v>2917.3540733226032</v>
      </c>
      <c r="D30" s="41">
        <f t="shared" si="19"/>
        <v>11.176</v>
      </c>
      <c r="E30" s="41">
        <f t="shared" si="20"/>
        <v>1.2433125</v>
      </c>
      <c r="G30" s="12">
        <v>0</v>
      </c>
      <c r="H30" s="42">
        <f t="shared" si="21"/>
        <v>17.649683900915328</v>
      </c>
      <c r="I30" s="42"/>
      <c r="J30" s="42"/>
      <c r="K30" s="43">
        <f t="shared" si="14"/>
        <v>88.248419504576646</v>
      </c>
      <c r="L30" s="40">
        <f t="shared" si="0"/>
        <v>16.968206164514495</v>
      </c>
      <c r="M30" s="40"/>
      <c r="N30" s="42">
        <f>'Gain-Sub-Exp'!$D$19*E30^2/$T$2</f>
        <v>35.925452212717893</v>
      </c>
      <c r="O30" s="43">
        <f t="shared" si="22"/>
        <v>0.59875753687863154</v>
      </c>
      <c r="Q30" s="43">
        <f>('Gain-Sub-Exp'!O34)</f>
        <v>400.83002754527018</v>
      </c>
      <c r="R30" s="43">
        <f t="shared" si="23"/>
        <v>0.22295566913311327</v>
      </c>
      <c r="S30" s="43"/>
      <c r="T30" s="42">
        <f t="shared" si="24"/>
        <v>15.458259726562503</v>
      </c>
      <c r="U30" s="43">
        <f t="shared" si="2"/>
        <v>10</v>
      </c>
      <c r="W30" s="42">
        <f t="shared" si="3"/>
        <v>2884.704651762393</v>
      </c>
      <c r="X30" s="43">
        <f t="shared" si="4"/>
        <v>4.150547116748811</v>
      </c>
      <c r="Y30" s="43">
        <f t="shared" si="25"/>
        <v>9.4733200218587523</v>
      </c>
      <c r="Z30" s="43"/>
      <c r="AA30" s="43">
        <f t="shared" si="26"/>
        <v>0.20731237357970878</v>
      </c>
      <c r="AC30" s="44">
        <f t="shared" si="27"/>
        <v>13.764329769524085</v>
      </c>
      <c r="AE30" s="44">
        <f t="shared" si="7"/>
        <v>21.739074773940295</v>
      </c>
      <c r="AG30" s="45"/>
      <c r="AH30" s="45"/>
    </row>
    <row r="31" spans="1:34" x14ac:dyDescent="0.35">
      <c r="A31">
        <f t="shared" si="18"/>
        <v>260</v>
      </c>
      <c r="B31" s="39">
        <f t="shared" si="8"/>
        <v>0.17038870972799858</v>
      </c>
      <c r="C31" s="40">
        <f t="shared" si="9"/>
        <v>2605.0374888492702</v>
      </c>
      <c r="D31" s="41">
        <f t="shared" si="19"/>
        <v>11.025</v>
      </c>
      <c r="E31" s="41">
        <f t="shared" si="20"/>
        <v>1.2309508800000002</v>
      </c>
      <c r="G31" s="12">
        <v>0</v>
      </c>
      <c r="H31" s="42">
        <f t="shared" si="21"/>
        <v>18.591748884252862</v>
      </c>
      <c r="I31" s="42"/>
      <c r="J31" s="42"/>
      <c r="K31" s="43">
        <f t="shared" si="14"/>
        <v>92.958744421264313</v>
      </c>
      <c r="L31" s="40">
        <f t="shared" si="0"/>
        <v>15.839120519874012</v>
      </c>
      <c r="M31" s="40"/>
      <c r="N31" s="42">
        <f>'Gain-Sub-Exp'!$D$19*E31^2/$T$2</f>
        <v>35.214626776607929</v>
      </c>
      <c r="O31" s="43">
        <f t="shared" si="22"/>
        <v>0.58691044627679878</v>
      </c>
      <c r="Q31" s="43">
        <f>('Gain-Sub-Exp'!O35)</f>
        <v>408.92098875134207</v>
      </c>
      <c r="R31" s="43">
        <f t="shared" si="23"/>
        <v>0.21854424071722739</v>
      </c>
      <c r="S31" s="43"/>
      <c r="T31" s="42">
        <f t="shared" si="24"/>
        <v>15.152400689727749</v>
      </c>
      <c r="U31" s="43">
        <f t="shared" si="2"/>
        <v>10</v>
      </c>
      <c r="W31" s="42">
        <f t="shared" si="3"/>
        <v>2573.8274233989514</v>
      </c>
      <c r="X31" s="43">
        <f t="shared" si="4"/>
        <v>4.1092803505501729</v>
      </c>
      <c r="Y31" s="43">
        <f t="shared" si="25"/>
        <v>9.322712174588867</v>
      </c>
      <c r="Z31" s="43"/>
      <c r="AA31" s="43">
        <f t="shared" si="26"/>
        <v>0.2032104653423889</v>
      </c>
      <c r="AC31" s="44">
        <f t="shared" si="27"/>
        <v>13.628652999980925</v>
      </c>
      <c r="AE31" s="44">
        <f t="shared" si="7"/>
        <v>21.739074773940292</v>
      </c>
      <c r="AG31" s="45"/>
      <c r="AH31" s="45"/>
    </row>
    <row r="32" spans="1:34" x14ac:dyDescent="0.35">
      <c r="A32">
        <f t="shared" si="18"/>
        <v>270</v>
      </c>
      <c r="B32" s="39">
        <f t="shared" si="8"/>
        <v>0.15059749642100018</v>
      </c>
      <c r="C32" s="40">
        <f t="shared" si="9"/>
        <v>2326.1558754098082</v>
      </c>
      <c r="D32" s="41">
        <f t="shared" si="19"/>
        <v>10.874000000000001</v>
      </c>
      <c r="E32" s="41">
        <f t="shared" si="20"/>
        <v>1.21929402</v>
      </c>
      <c r="G32" s="12">
        <v>0</v>
      </c>
      <c r="H32" s="42">
        <f t="shared" si="21"/>
        <v>19.584097285571879</v>
      </c>
      <c r="I32" s="42"/>
      <c r="J32" s="42"/>
      <c r="K32" s="43">
        <f t="shared" si="14"/>
        <v>97.920486427859402</v>
      </c>
      <c r="L32" s="40">
        <f t="shared" si="0"/>
        <v>14.746580104362152</v>
      </c>
      <c r="M32" s="40"/>
      <c r="N32" s="42">
        <f>'Gain-Sub-Exp'!$D$19*E32^2/$T$2</f>
        <v>34.550833700458647</v>
      </c>
      <c r="O32" s="43">
        <f t="shared" si="22"/>
        <v>0.57584722834097746</v>
      </c>
      <c r="Q32" s="43">
        <f>('Gain-Sub-Exp'!O36)</f>
        <v>416.7772078914798</v>
      </c>
      <c r="R32" s="43">
        <f t="shared" si="23"/>
        <v>0.21442469815496568</v>
      </c>
      <c r="S32" s="43"/>
      <c r="T32" s="42">
        <f t="shared" si="24"/>
        <v>14.866779072077602</v>
      </c>
      <c r="U32" s="43">
        <f t="shared" si="2"/>
        <v>10</v>
      </c>
      <c r="W32" s="42">
        <f t="shared" si="3"/>
        <v>2296.3280915352134</v>
      </c>
      <c r="X32" s="43">
        <f t="shared" si="4"/>
        <v>4.0703662829578775</v>
      </c>
      <c r="Y32" s="43">
        <f t="shared" si="25"/>
        <v>9.1713348217460435</v>
      </c>
      <c r="Z32" s="43"/>
      <c r="AA32" s="43">
        <f t="shared" si="26"/>
        <v>0.19937996329700147</v>
      </c>
      <c r="AC32" s="44">
        <f t="shared" si="27"/>
        <v>13.491520730358454</v>
      </c>
      <c r="AE32" s="44">
        <f t="shared" si="7"/>
        <v>21.739074773940295</v>
      </c>
      <c r="AG32" s="45"/>
      <c r="AH32" s="45"/>
    </row>
    <row r="33" spans="1:34" x14ac:dyDescent="0.35">
      <c r="A33">
        <f t="shared" si="18"/>
        <v>280</v>
      </c>
      <c r="B33" s="39">
        <f t="shared" si="8"/>
        <v>0.13283506790399935</v>
      </c>
      <c r="C33" s="40">
        <f t="shared" si="9"/>
        <v>2077.1298608427273</v>
      </c>
      <c r="D33" s="41">
        <f t="shared" si="19"/>
        <v>10.723000000000001</v>
      </c>
      <c r="E33" s="41">
        <f t="shared" si="20"/>
        <v>1.2083419200000001</v>
      </c>
      <c r="G33" s="12">
        <v>0</v>
      </c>
      <c r="H33" s="42">
        <f t="shared" si="21"/>
        <v>20.629413019643252</v>
      </c>
      <c r="I33" s="42"/>
      <c r="J33" s="42"/>
      <c r="K33" s="43">
        <f t="shared" si="14"/>
        <v>103.14706509821626</v>
      </c>
      <c r="L33" s="40">
        <f t="shared" si="0"/>
        <v>13.701547396419798</v>
      </c>
      <c r="M33" s="40"/>
      <c r="N33" s="42">
        <f>'Gain-Sub-Exp'!$D$19*E33^2/$T$2</f>
        <v>33.932927429860364</v>
      </c>
      <c r="O33" s="43">
        <f t="shared" si="22"/>
        <v>0.5655487904976727</v>
      </c>
      <c r="Q33" s="43">
        <f>('Gain-Sub-Exp'!O37)</f>
        <v>424.36656930837808</v>
      </c>
      <c r="R33" s="43">
        <f t="shared" si="23"/>
        <v>0.21058993206191656</v>
      </c>
      <c r="S33" s="43"/>
      <c r="T33" s="42">
        <f t="shared" si="24"/>
        <v>14.600901956292864</v>
      </c>
      <c r="U33" s="43">
        <f t="shared" si="2"/>
        <v>9.9999999999999982</v>
      </c>
      <c r="W33" s="42">
        <f t="shared" si="3"/>
        <v>2048.6168215579528</v>
      </c>
      <c r="X33" s="43">
        <f t="shared" si="4"/>
        <v>4.0338049139719274</v>
      </c>
      <c r="Y33" s="43">
        <f t="shared" si="25"/>
        <v>9.0191528125661815</v>
      </c>
      <c r="Z33" s="43"/>
      <c r="AA33" s="43">
        <f t="shared" si="26"/>
        <v>0.19581425687668905</v>
      </c>
      <c r="AC33" s="44">
        <f t="shared" si="27"/>
        <v>13.352876735079278</v>
      </c>
      <c r="AE33" s="44">
        <f t="shared" si="7"/>
        <v>21.739074773940295</v>
      </c>
      <c r="AG33" s="45"/>
      <c r="AH33" s="45"/>
    </row>
    <row r="34" spans="1:34" x14ac:dyDescent="0.35">
      <c r="A34">
        <f t="shared" si="18"/>
        <v>290</v>
      </c>
      <c r="B34" s="39">
        <f t="shared" si="8"/>
        <v>0.11705089934699808</v>
      </c>
      <c r="C34" s="40">
        <f t="shared" si="9"/>
        <v>1854.7632617459183</v>
      </c>
      <c r="D34" s="41">
        <f t="shared" si="19"/>
        <v>10.571999999999999</v>
      </c>
      <c r="E34" s="41">
        <f t="shared" si="20"/>
        <v>1.19809458</v>
      </c>
      <c r="G34" s="12">
        <v>0</v>
      </c>
      <c r="H34" s="42">
        <f t="shared" si="21"/>
        <v>21.730523257181584</v>
      </c>
      <c r="I34" s="42"/>
      <c r="J34" s="42"/>
      <c r="K34" s="43">
        <f t="shared" si="14"/>
        <v>108.65261628590792</v>
      </c>
      <c r="L34" s="40">
        <f t="shared" si="0"/>
        <v>12.717886452669813</v>
      </c>
      <c r="M34" s="40"/>
      <c r="N34" s="42">
        <f>'Gain-Sub-Exp'!$D$19*E34^2/$T$2</f>
        <v>33.359831669271145</v>
      </c>
      <c r="O34" s="43">
        <f t="shared" si="22"/>
        <v>0.55599719448785245</v>
      </c>
      <c r="Q34" s="43">
        <f>('Gain-Sub-Exp'!O38)</f>
        <v>431.65685434990729</v>
      </c>
      <c r="R34" s="43">
        <f t="shared" si="23"/>
        <v>0.20703326287866028</v>
      </c>
      <c r="S34" s="43"/>
      <c r="T34" s="42">
        <f t="shared" si="24"/>
        <v>14.354306226253764</v>
      </c>
      <c r="U34" s="43">
        <f t="shared" si="2"/>
        <v>10</v>
      </c>
      <c r="W34" s="42">
        <f t="shared" si="3"/>
        <v>1827.484035804116</v>
      </c>
      <c r="X34" s="43">
        <f t="shared" si="4"/>
        <v>3.9995962435923205</v>
      </c>
      <c r="Y34" s="43">
        <f t="shared" si="25"/>
        <v>8.8661247999897999</v>
      </c>
      <c r="Z34" s="43"/>
      <c r="AA34" s="43">
        <f t="shared" si="26"/>
        <v>0.19250713518166526</v>
      </c>
      <c r="AC34" s="44">
        <f t="shared" si="27"/>
        <v>13.212659263378592</v>
      </c>
      <c r="AE34" s="44">
        <f t="shared" si="7"/>
        <v>21.739074773940295</v>
      </c>
      <c r="AG34" s="45"/>
      <c r="AH34" s="45"/>
    </row>
    <row r="35" spans="1:34" x14ac:dyDescent="0.35">
      <c r="A35" s="87">
        <f t="shared" si="18"/>
        <v>300</v>
      </c>
      <c r="B35" s="39">
        <f t="shared" si="8"/>
        <v>0.10320289999999632</v>
      </c>
      <c r="C35" s="40">
        <f t="shared" si="9"/>
        <v>1656.2020613032978</v>
      </c>
      <c r="D35" s="41">
        <f t="shared" si="19"/>
        <v>10.420999999999999</v>
      </c>
      <c r="E35" s="41">
        <f t="shared" si="20"/>
        <v>1.1885520000000001</v>
      </c>
      <c r="G35" s="12">
        <v>0</v>
      </c>
      <c r="H35" s="42">
        <f t="shared" si="21"/>
        <v>22.890406071237589</v>
      </c>
      <c r="I35" s="42"/>
      <c r="J35" s="42"/>
      <c r="K35" s="43">
        <f t="shared" si="14"/>
        <v>114.45203035618795</v>
      </c>
      <c r="L35" s="40">
        <f t="shared" si="0"/>
        <v>11.811781443646208</v>
      </c>
      <c r="M35" s="40"/>
      <c r="N35" s="42">
        <f>'Gain-Sub-Exp'!$D$19*E35^2/$T$2</f>
        <v>32.830539382016909</v>
      </c>
      <c r="O35" s="43">
        <f t="shared" si="22"/>
        <v>0.54717565636694843</v>
      </c>
      <c r="Q35" s="43">
        <f>('Gain-Sub-Exp'!O39)</f>
        <v>438.61600421611325</v>
      </c>
      <c r="R35" s="43">
        <f t="shared" si="23"/>
        <v>0.20374844087076949</v>
      </c>
      <c r="S35" s="43"/>
      <c r="T35" s="42">
        <f t="shared" si="24"/>
        <v>14.126558567040002</v>
      </c>
      <c r="U35" s="43">
        <f t="shared" si="2"/>
        <v>10</v>
      </c>
      <c r="W35" s="42">
        <f t="shared" si="3"/>
        <v>1630.0599728517409</v>
      </c>
      <c r="X35" s="43">
        <f t="shared" si="4"/>
        <v>3.967740271819058</v>
      </c>
      <c r="Y35" s="43">
        <f t="shared" si="25"/>
        <v>8.7122011589005925</v>
      </c>
      <c r="Z35" s="43"/>
      <c r="AA35" s="43">
        <f t="shared" si="26"/>
        <v>0.18945278697921553</v>
      </c>
      <c r="AC35" s="44">
        <f t="shared" si="27"/>
        <v>13.070799061312634</v>
      </c>
      <c r="AE35" s="44">
        <f t="shared" si="7"/>
        <v>21.739074773940299</v>
      </c>
      <c r="AG35" s="45"/>
      <c r="AH35" s="45"/>
    </row>
    <row r="36" spans="1:34" x14ac:dyDescent="0.35">
      <c r="A36">
        <f t="shared" si="18"/>
        <v>310</v>
      </c>
      <c r="B36" s="39">
        <f t="shared" si="8"/>
        <v>9.1247345552999182E-2</v>
      </c>
      <c r="C36" s="40">
        <f t="shared" si="9"/>
        <v>1478.8977787295935</v>
      </c>
      <c r="D36" s="41">
        <f t="shared" si="19"/>
        <v>10.27</v>
      </c>
      <c r="E36" s="41">
        <f t="shared" si="20"/>
        <v>1.1797141799999999</v>
      </c>
      <c r="G36" s="12">
        <v>0</v>
      </c>
      <c r="H36" s="42">
        <f t="shared" si="21"/>
        <v>24.112198491722328</v>
      </c>
      <c r="I36" s="42"/>
      <c r="J36" s="42"/>
      <c r="K36" s="43">
        <f t="shared" si="14"/>
        <v>120.56099245861164</v>
      </c>
      <c r="L36" s="40">
        <f t="shared" si="0"/>
        <v>11.000870539083465</v>
      </c>
      <c r="M36" s="40"/>
      <c r="N36" s="42">
        <f>'Gain-Sub-Exp'!$D$19*E36^2/$T$2</f>
        <v>32.344112790291334</v>
      </c>
      <c r="O36" s="43">
        <f t="shared" si="22"/>
        <v>0.53906854650485558</v>
      </c>
      <c r="Q36" s="43">
        <f>('Gain-Sub-Exp'!O40)</f>
        <v>445.21239748837439</v>
      </c>
      <c r="R36" s="43">
        <f t="shared" si="23"/>
        <v>0.20072964612880875</v>
      </c>
      <c r="S36" s="43"/>
      <c r="T36" s="42">
        <f t="shared" si="24"/>
        <v>13.917255464930724</v>
      </c>
      <c r="U36" s="43">
        <f t="shared" si="2"/>
        <v>10.000000000000002</v>
      </c>
      <c r="W36" s="42">
        <f t="shared" si="3"/>
        <v>1453.7789230794506</v>
      </c>
      <c r="X36" s="43">
        <f t="shared" si="4"/>
        <v>3.9382369986521386</v>
      </c>
      <c r="Y36" s="43">
        <f t="shared" si="25"/>
        <v>8.5573217340521595</v>
      </c>
      <c r="Z36" s="43"/>
      <c r="AA36" s="43">
        <f t="shared" si="26"/>
        <v>0.18664580070369641</v>
      </c>
      <c r="AC36" s="44">
        <f t="shared" si="27"/>
        <v>12.927217223919891</v>
      </c>
      <c r="AE36" s="44">
        <f t="shared" si="7"/>
        <v>21.739074773940292</v>
      </c>
      <c r="AG36" s="45"/>
      <c r="AH36" s="45"/>
    </row>
    <row r="37" spans="1:34" x14ac:dyDescent="0.35">
      <c r="A37">
        <f t="shared" si="18"/>
        <v>320</v>
      </c>
      <c r="B37" s="39">
        <f t="shared" si="8"/>
        <v>8.1128810495999293E-2</v>
      </c>
      <c r="C37" s="40">
        <f t="shared" si="9"/>
        <v>1320.574760189721</v>
      </c>
      <c r="D37" s="41">
        <f t="shared" si="19"/>
        <v>10.119</v>
      </c>
      <c r="E37" s="41">
        <f t="shared" si="20"/>
        <v>1.1715811200000001</v>
      </c>
      <c r="G37" s="12">
        <v>0</v>
      </c>
      <c r="H37" s="42">
        <f t="shared" si="21"/>
        <v>25.399204989847643</v>
      </c>
      <c r="I37" s="42"/>
      <c r="J37" s="42"/>
      <c r="K37" s="43">
        <f t="shared" si="14"/>
        <v>126.99602494923822</v>
      </c>
      <c r="L37" s="40">
        <f t="shared" si="0"/>
        <v>10.303036441851946</v>
      </c>
      <c r="M37" s="40"/>
      <c r="N37" s="42">
        <f>'Gain-Sub-Exp'!$D$19*E37^2/$T$2</f>
        <v>31.899683375155966</v>
      </c>
      <c r="O37" s="43">
        <f t="shared" si="22"/>
        <v>0.53166138958593279</v>
      </c>
      <c r="Q37" s="43">
        <f>('Gain-Sub-Exp'!O41)</f>
        <v>451.41513884789754</v>
      </c>
      <c r="R37" s="43">
        <f t="shared" si="23"/>
        <v>0.19797148856833505</v>
      </c>
      <c r="S37" s="43"/>
      <c r="T37" s="42">
        <f t="shared" si="24"/>
        <v>13.726023207404548</v>
      </c>
      <c r="U37" s="43">
        <f t="shared" si="2"/>
        <v>10</v>
      </c>
      <c r="W37" s="42">
        <f t="shared" si="3"/>
        <v>1296.3477290518963</v>
      </c>
      <c r="X37" s="43">
        <f t="shared" si="4"/>
        <v>3.9110864240915642</v>
      </c>
      <c r="Y37" s="43">
        <f t="shared" si="25"/>
        <v>8.4014136615542938</v>
      </c>
      <c r="Z37" s="43"/>
      <c r="AA37" s="43">
        <f t="shared" si="26"/>
        <v>0.1840811644565363</v>
      </c>
      <c r="AC37" s="44">
        <f t="shared" si="27"/>
        <v>12.781823119697949</v>
      </c>
      <c r="AE37" s="44">
        <f t="shared" si="7"/>
        <v>21.739074773940292</v>
      </c>
      <c r="AG37" s="45"/>
      <c r="AH37" s="45"/>
    </row>
    <row r="38" spans="1:34" x14ac:dyDescent="0.35">
      <c r="A38">
        <f t="shared" si="18"/>
        <v>330</v>
      </c>
      <c r="B38" s="39">
        <f t="shared" si="8"/>
        <v>7.2770100479000011E-2</v>
      </c>
      <c r="C38" s="40">
        <f t="shared" si="9"/>
        <v>1179.2009713803236</v>
      </c>
      <c r="D38" s="41">
        <f t="shared" si="19"/>
        <v>9.968</v>
      </c>
      <c r="E38" s="41">
        <f t="shared" si="20"/>
        <v>1.16415282</v>
      </c>
      <c r="G38" s="12">
        <v>0</v>
      </c>
      <c r="H38" s="42">
        <f t="shared" si="21"/>
        <v>26.754906415429922</v>
      </c>
      <c r="I38" s="42"/>
      <c r="J38" s="42"/>
      <c r="K38" s="43">
        <f t="shared" si="14"/>
        <v>133.77453207714962</v>
      </c>
      <c r="L38" s="40">
        <f t="shared" si="0"/>
        <v>9.7347861407853866</v>
      </c>
      <c r="M38" s="40"/>
      <c r="N38" s="42">
        <f>'Gain-Sub-Exp'!$D$19*E38^2/$T$2</f>
        <v>31.496451876540085</v>
      </c>
      <c r="O38" s="43">
        <f t="shared" si="22"/>
        <v>0.52494086460900147</v>
      </c>
      <c r="Q38" s="43">
        <f>('Gain-Sub-Exp'!O42)</f>
        <v>457.19435498465589</v>
      </c>
      <c r="R38" s="43">
        <f t="shared" si="23"/>
        <v>0.19546900792989719</v>
      </c>
      <c r="S38" s="43"/>
      <c r="T38" s="42">
        <f t="shared" si="24"/>
        <v>13.552517883139522</v>
      </c>
      <c r="U38" s="43">
        <f t="shared" si="2"/>
        <v>10</v>
      </c>
      <c r="W38" s="42">
        <f t="shared" si="3"/>
        <v>1155.7181983484688</v>
      </c>
      <c r="X38" s="43">
        <f t="shared" si="4"/>
        <v>3.8862885481373319</v>
      </c>
      <c r="Y38" s="43">
        <f t="shared" si="25"/>
        <v>8.244389696805273</v>
      </c>
      <c r="Z38" s="43"/>
      <c r="AA38" s="43">
        <f t="shared" si="26"/>
        <v>0.18175426600623459</v>
      </c>
      <c r="AC38" s="44">
        <f t="shared" si="27"/>
        <v>12.634512817888094</v>
      </c>
      <c r="AE38" s="44">
        <f t="shared" si="7"/>
        <v>21.739074773940292</v>
      </c>
      <c r="AG38" s="45"/>
      <c r="AH38" s="45"/>
    </row>
    <row r="39" spans="1:34" x14ac:dyDescent="0.35">
      <c r="A39">
        <f t="shared" si="18"/>
        <v>340</v>
      </c>
      <c r="B39" s="39">
        <f t="shared" si="8"/>
        <v>6.6062184671997759E-2</v>
      </c>
      <c r="C39" s="40">
        <f t="shared" si="9"/>
        <v>1052.961916903917</v>
      </c>
      <c r="D39" s="41">
        <f t="shared" si="19"/>
        <v>9.8170000000000002</v>
      </c>
      <c r="E39" s="41">
        <f t="shared" si="20"/>
        <v>1.1574292800000001</v>
      </c>
      <c r="G39" s="12">
        <v>0</v>
      </c>
      <c r="H39" s="42">
        <f t="shared" si="21"/>
        <v>28.182969411229084</v>
      </c>
      <c r="I39" s="42"/>
      <c r="J39" s="42"/>
      <c r="K39" s="43">
        <f t="shared" si="14"/>
        <v>140.91484705614542</v>
      </c>
      <c r="L39" s="40">
        <f t="shared" si="0"/>
        <v>9.3091426492493987</v>
      </c>
      <c r="M39" s="40"/>
      <c r="N39" s="42">
        <f>'Gain-Sub-Exp'!$D$19*E39^2/$T$2</f>
        <v>31.133688293240869</v>
      </c>
      <c r="O39" s="43">
        <f t="shared" si="22"/>
        <v>0.51889480488734785</v>
      </c>
      <c r="Q39" s="43">
        <f>('Gain-Sub-Exp'!O43)</f>
        <v>462.52149325739356</v>
      </c>
      <c r="R39" s="43">
        <f t="shared" si="23"/>
        <v>0.19321767377903656</v>
      </c>
      <c r="S39" s="43"/>
      <c r="T39" s="42">
        <f t="shared" si="24"/>
        <v>13.396425382013186</v>
      </c>
      <c r="U39" s="43">
        <f t="shared" si="2"/>
        <v>10</v>
      </c>
      <c r="W39" s="42">
        <f t="shared" si="3"/>
        <v>1030.0631311988755</v>
      </c>
      <c r="X39" s="43">
        <f t="shared" si="4"/>
        <v>3.8638433707894451</v>
      </c>
      <c r="Y39" s="43">
        <f t="shared" si="25"/>
        <v>8.0861477660450962</v>
      </c>
      <c r="Z39" s="43"/>
      <c r="AA39" s="43">
        <f t="shared" si="26"/>
        <v>0.17966089278836267</v>
      </c>
      <c r="AC39" s="44">
        <f t="shared" si="27"/>
        <v>12.485168732349219</v>
      </c>
      <c r="AE39" s="44">
        <f t="shared" si="7"/>
        <v>21.739074773940295</v>
      </c>
      <c r="AG39" s="45"/>
      <c r="AH39" s="45"/>
    </row>
    <row r="40" spans="1:34" x14ac:dyDescent="0.35">
      <c r="A40" s="87">
        <f t="shared" si="18"/>
        <v>350</v>
      </c>
      <c r="B40" s="39">
        <f t="shared" si="8"/>
        <v>6.0854128124999907E-2</v>
      </c>
      <c r="C40" s="40">
        <f t="shared" si="9"/>
        <v>940.23735169768315</v>
      </c>
      <c r="D40" s="41">
        <f t="shared" si="19"/>
        <v>9.6660000000000004</v>
      </c>
      <c r="E40" s="41">
        <f t="shared" si="20"/>
        <v>1.1514105000000001</v>
      </c>
      <c r="G40" s="12">
        <v>0</v>
      </c>
      <c r="H40" s="42">
        <f t="shared" si="21"/>
        <v>29.687256329784876</v>
      </c>
      <c r="I40" s="42"/>
      <c r="J40" s="42"/>
      <c r="K40" s="43">
        <f t="shared" si="14"/>
        <v>148.43628164892439</v>
      </c>
      <c r="L40" s="40">
        <f t="shared" si="0"/>
        <v>9.0329605018622168</v>
      </c>
      <c r="M40" s="40"/>
      <c r="N40" s="42">
        <f>'Gain-Sub-Exp'!$D$19*E40^2/$T$2</f>
        <v>30.810731882923218</v>
      </c>
      <c r="O40" s="43">
        <f t="shared" si="22"/>
        <v>0.51351219804872028</v>
      </c>
      <c r="Q40" s="43">
        <f>('Gain-Sub-Exp'!O44)</f>
        <v>467.36961831085779</v>
      </c>
      <c r="R40" s="43">
        <f t="shared" si="23"/>
        <v>0.1912133855062863</v>
      </c>
      <c r="S40" s="43"/>
      <c r="T40" s="42">
        <f t="shared" si="24"/>
        <v>13.257461395102503</v>
      </c>
      <c r="U40" s="43">
        <f t="shared" si="2"/>
        <v>10</v>
      </c>
      <c r="W40" s="42">
        <f t="shared" si="3"/>
        <v>917.75571641521219</v>
      </c>
      <c r="X40" s="43">
        <f t="shared" si="4"/>
        <v>3.8437508920479018</v>
      </c>
      <c r="Y40" s="43">
        <f t="shared" si="25"/>
        <v>7.9265728812012766</v>
      </c>
      <c r="Z40" s="43"/>
      <c r="AA40" s="43">
        <f t="shared" si="26"/>
        <v>0.1777972319055629</v>
      </c>
      <c r="AC40" s="44">
        <f t="shared" si="27"/>
        <v>12.333661616841791</v>
      </c>
      <c r="AE40" s="44">
        <f t="shared" si="7"/>
        <v>21.739074773940295</v>
      </c>
      <c r="AG40" s="45"/>
      <c r="AH40" s="45"/>
    </row>
    <row r="41" spans="1:34" x14ac:dyDescent="0.35">
      <c r="A41">
        <f t="shared" si="18"/>
        <v>360</v>
      </c>
      <c r="B41" s="39">
        <f t="shared" si="8"/>
        <v>5.6943024127998232E-2</v>
      </c>
      <c r="C41" s="40">
        <f t="shared" si="9"/>
        <v>839.58048561422243</v>
      </c>
      <c r="D41" s="41">
        <f t="shared" si="19"/>
        <v>9.5150000000000006</v>
      </c>
      <c r="E41" s="41">
        <f t="shared" si="20"/>
        <v>1.1460964800000002</v>
      </c>
      <c r="G41" s="12">
        <v>0</v>
      </c>
      <c r="H41" s="42">
        <f t="shared" si="21"/>
        <v>31.271835679571733</v>
      </c>
      <c r="I41" s="42"/>
      <c r="J41" s="42"/>
      <c r="K41" s="43">
        <f t="shared" si="14"/>
        <v>156.35917839785867</v>
      </c>
      <c r="L41" s="40">
        <f t="shared" si="0"/>
        <v>8.9035644681432462</v>
      </c>
      <c r="M41" s="40"/>
      <c r="N41" s="42">
        <f>'Gain-Sub-Exp'!$D$19*E41^2/$T$2</f>
        <v>30.526991162119895</v>
      </c>
      <c r="O41" s="43">
        <f t="shared" si="22"/>
        <v>0.50878318603533157</v>
      </c>
      <c r="Q41" s="43">
        <f>('Gain-Sub-Exp'!O45)</f>
        <v>471.71370160674616</v>
      </c>
      <c r="R41" s="43">
        <f t="shared" si="23"/>
        <v>0.18945247232717199</v>
      </c>
      <c r="S41" s="43"/>
      <c r="T41" s="42">
        <f t="shared" si="24"/>
        <v>13.13537141468391</v>
      </c>
      <c r="U41" s="43">
        <f t="shared" si="2"/>
        <v>10</v>
      </c>
      <c r="W41" s="42">
        <f t="shared" si="3"/>
        <v>817.35209725906805</v>
      </c>
      <c r="X41" s="43">
        <f t="shared" si="4"/>
        <v>3.8260111119127025</v>
      </c>
      <c r="Y41" s="43">
        <f t="shared" si="25"/>
        <v>7.7655431810258326</v>
      </c>
      <c r="Z41" s="43"/>
      <c r="AA41" s="43">
        <f t="shared" si="26"/>
        <v>0.17615987012754944</v>
      </c>
      <c r="AC41" s="44">
        <f t="shared" si="27"/>
        <v>12.179856667740712</v>
      </c>
      <c r="AE41" s="44">
        <f t="shared" si="7"/>
        <v>21.739074773940292</v>
      </c>
      <c r="AG41" s="45"/>
      <c r="AH41" s="45"/>
    </row>
    <row r="42" spans="1:34" x14ac:dyDescent="0.35">
      <c r="A42" s="33">
        <f t="shared" si="18"/>
        <v>370</v>
      </c>
      <c r="B42" s="39">
        <f t="shared" si="8"/>
        <v>5.406392657099568E-2</v>
      </c>
      <c r="C42" s="40">
        <f t="shared" si="9"/>
        <v>749.69941425051979</v>
      </c>
      <c r="D42" s="41">
        <f t="shared" si="19"/>
        <v>9.3640000000000008</v>
      </c>
      <c r="E42" s="41">
        <f t="shared" si="20"/>
        <v>1.1414872199999999</v>
      </c>
      <c r="G42" s="12">
        <v>0</v>
      </c>
      <c r="H42" s="42">
        <f t="shared" si="21"/>
        <v>32.940993128724806</v>
      </c>
      <c r="I42" s="42"/>
      <c r="J42" s="42"/>
      <c r="K42" s="43">
        <f t="shared" si="14"/>
        <v>164.70496564362404</v>
      </c>
      <c r="L42" s="40">
        <f t="shared" si="0"/>
        <v>8.9045971684352558</v>
      </c>
      <c r="M42" s="40"/>
      <c r="N42" s="43">
        <f>'Gain-Sub-Exp'!$D$19*E42^2/$T$2</f>
        <v>30.281943906231419</v>
      </c>
      <c r="O42" s="43">
        <f t="shared" si="22"/>
        <v>0.50469906510385698</v>
      </c>
      <c r="Q42" s="51">
        <f>('Gain-Sub-Exp'!O46)</f>
        <v>475.53089869626132</v>
      </c>
      <c r="R42" s="43">
        <f t="shared" si="23"/>
        <v>0.18793169328221102</v>
      </c>
      <c r="S42" s="43"/>
      <c r="T42" s="42">
        <f t="shared" si="24"/>
        <v>13.029930734233282</v>
      </c>
      <c r="U42" s="43">
        <f t="shared" si="2"/>
        <v>10</v>
      </c>
      <c r="W42" s="42">
        <f t="shared" si="3"/>
        <v>727.57695465456902</v>
      </c>
      <c r="X42" s="43">
        <f t="shared" si="4"/>
        <v>3.8106240303838455</v>
      </c>
      <c r="Y42" s="43">
        <f t="shared" si="25"/>
        <v>7.6029427762095567</v>
      </c>
      <c r="Z42" s="43"/>
      <c r="AA42" s="43">
        <f t="shared" si="26"/>
        <v>0.1747457938911075</v>
      </c>
      <c r="AC42" s="44">
        <f t="shared" si="27"/>
        <v>12.0236264017741</v>
      </c>
      <c r="AE42" s="44">
        <f t="shared" si="7"/>
        <v>21.739074773940299</v>
      </c>
      <c r="AG42" s="45"/>
      <c r="AH42" s="45"/>
    </row>
    <row r="43" spans="1:34" x14ac:dyDescent="0.35">
      <c r="A43" s="33">
        <f t="shared" si="18"/>
        <v>380</v>
      </c>
      <c r="B43" s="39">
        <f t="shared" si="8"/>
        <v>5.187978230399759E-2</v>
      </c>
      <c r="C43" s="40">
        <f t="shared" si="9"/>
        <v>669.44053769471248</v>
      </c>
      <c r="D43" s="41">
        <f t="shared" si="19"/>
        <v>9.213000000000001</v>
      </c>
      <c r="E43" s="41">
        <f t="shared" si="20"/>
        <v>1.1375827200000002</v>
      </c>
      <c r="G43" s="12">
        <v>0</v>
      </c>
      <c r="H43" s="42">
        <f t="shared" si="21"/>
        <v>34.699243096098144</v>
      </c>
      <c r="I43" s="42"/>
      <c r="J43" s="42"/>
      <c r="K43" s="43">
        <f t="shared" si="14"/>
        <v>173.49621548049072</v>
      </c>
      <c r="L43" s="40">
        <f t="shared" si="0"/>
        <v>9.0009458896953145</v>
      </c>
      <c r="M43" s="40"/>
      <c r="N43" s="43">
        <f>'Gain-Sub-Exp'!$D$19*E43^2/$T$2</f>
        <v>30.075137149526206</v>
      </c>
      <c r="O43" s="43">
        <f t="shared" si="22"/>
        <v>0.50125228582543679</v>
      </c>
      <c r="Q43" s="51">
        <f>('Gain-Sub-Exp'!O47)</f>
        <v>478.80080906719496</v>
      </c>
      <c r="R43" s="43">
        <f t="shared" si="23"/>
        <v>0.18664823723691348</v>
      </c>
      <c r="S43" s="43"/>
      <c r="T43" s="42">
        <f t="shared" si="24"/>
        <v>12.940944448425988</v>
      </c>
      <c r="U43" s="43">
        <f t="shared" si="2"/>
        <v>10</v>
      </c>
      <c r="W43" s="42">
        <f t="shared" si="3"/>
        <v>647.31199911935425</v>
      </c>
      <c r="X43" s="43">
        <f t="shared" si="4"/>
        <v>3.7975896474613342</v>
      </c>
      <c r="Y43" s="43">
        <f t="shared" si="25"/>
        <v>7.4386854091678236</v>
      </c>
      <c r="Z43" s="43"/>
      <c r="AA43" s="43">
        <f t="shared" si="26"/>
        <v>0.1735523893000944</v>
      </c>
      <c r="AC43" s="44">
        <f t="shared" si="27"/>
        <v>11.864874304869439</v>
      </c>
      <c r="AE43" s="44">
        <f t="shared" si="7"/>
        <v>21.739074773940292</v>
      </c>
      <c r="AG43" s="45"/>
      <c r="AH43" s="45"/>
    </row>
    <row r="44" spans="1:34" x14ac:dyDescent="0.35">
      <c r="A44" s="33">
        <f t="shared" si="18"/>
        <v>390</v>
      </c>
      <c r="B44" s="39">
        <f t="shared" si="8"/>
        <v>4.9971363496995824E-2</v>
      </c>
      <c r="C44" s="40">
        <f t="shared" si="9"/>
        <v>597.77375437461876</v>
      </c>
      <c r="D44" s="41">
        <f t="shared" si="19"/>
        <v>9.0620000000000012</v>
      </c>
      <c r="E44" s="41">
        <f t="shared" si="20"/>
        <v>1.13438298</v>
      </c>
      <c r="G44" s="12">
        <v>0</v>
      </c>
      <c r="H44" s="42">
        <f t="shared" si="21"/>
        <v>36.551340961004129</v>
      </c>
      <c r="I44" s="42"/>
      <c r="J44" s="42"/>
      <c r="K44" s="43">
        <f t="shared" si="14"/>
        <v>182.75670480502066</v>
      </c>
      <c r="L44" s="40">
        <f t="shared" si="0"/>
        <v>9.1326017273248503</v>
      </c>
      <c r="M44" s="40"/>
      <c r="N44" s="43">
        <f>'Gain-Sub-Exp'!$D$19*E44^2/$T$2</f>
        <v>29.906187185140372</v>
      </c>
      <c r="O44" s="43">
        <f t="shared" si="22"/>
        <v>0.49843645308567286</v>
      </c>
      <c r="Q44" s="51">
        <f>('Gain-Sub-Exp'!O48)</f>
        <v>481.50571354528927</v>
      </c>
      <c r="R44" s="43">
        <f t="shared" si="23"/>
        <v>0.18559972288178106</v>
      </c>
      <c r="S44" s="43"/>
      <c r="T44" s="42">
        <f t="shared" si="24"/>
        <v>12.868247453136805</v>
      </c>
      <c r="U44" s="43">
        <f t="shared" si="2"/>
        <v>10</v>
      </c>
      <c r="W44" s="42">
        <f t="shared" si="3"/>
        <v>575.58730547127527</v>
      </c>
      <c r="X44" s="43">
        <f t="shared" si="4"/>
        <v>3.7869079631451656</v>
      </c>
      <c r="Y44" s="43">
        <f t="shared" si="25"/>
        <v>7.2727548562288744</v>
      </c>
      <c r="Z44" s="43"/>
      <c r="AA44" s="43">
        <f t="shared" si="26"/>
        <v>0.17257744212543824</v>
      </c>
      <c r="AC44" s="44">
        <f t="shared" si="27"/>
        <v>11.703575158720492</v>
      </c>
      <c r="AE44" s="44">
        <f t="shared" si="7"/>
        <v>21.739074773940292</v>
      </c>
      <c r="AG44" s="45"/>
      <c r="AH44" s="45"/>
    </row>
    <row r="45" spans="1:34" x14ac:dyDescent="0.35">
      <c r="A45" s="87">
        <f t="shared" si="18"/>
        <v>400</v>
      </c>
      <c r="B45" s="39">
        <f t="shared" si="8"/>
        <v>4.7827199999991965E-2</v>
      </c>
      <c r="C45" s="40">
        <f t="shared" si="9"/>
        <v>533.77923997498215</v>
      </c>
      <c r="D45" s="41">
        <f t="shared" si="19"/>
        <v>8.9110000000000014</v>
      </c>
      <c r="E45" s="41">
        <f t="shared" si="20"/>
        <v>1.131888</v>
      </c>
      <c r="G45" s="12">
        <v>0</v>
      </c>
      <c r="H45" s="42">
        <f t="shared" si="21"/>
        <v>38.502295924656892</v>
      </c>
      <c r="K45" s="43">
        <f t="shared" si="14"/>
        <v>192.51147962328446</v>
      </c>
      <c r="L45" s="40">
        <f t="shared" si="0"/>
        <v>9.2072850382372042</v>
      </c>
      <c r="M45" s="40"/>
      <c r="N45" s="43">
        <f>'Gain-Sub-Exp'!$D$19*E45^2/$T$2</f>
        <v>29.774779565077914</v>
      </c>
      <c r="O45" s="43">
        <f t="shared" si="22"/>
        <v>0.49624632608463187</v>
      </c>
      <c r="Q45" s="51">
        <f>('Gain-Sub-Exp'!O49)</f>
        <v>483.6307845210514</v>
      </c>
      <c r="R45" s="43">
        <f t="shared" si="23"/>
        <v>0.18478419873230789</v>
      </c>
      <c r="S45" s="43"/>
      <c r="T45" s="42">
        <f t="shared" si="24"/>
        <v>12.81170444544</v>
      </c>
      <c r="U45" s="43">
        <f t="shared" si="2"/>
        <v>10</v>
      </c>
      <c r="W45" s="42">
        <f t="shared" si="3"/>
        <v>511.57546629257263</v>
      </c>
      <c r="X45" s="43">
        <f t="shared" si="4"/>
        <v>3.7785789774353411</v>
      </c>
      <c r="Y45" s="43">
        <f t="shared" si="25"/>
        <v>7.1052706826058918</v>
      </c>
      <c r="Z45" s="43"/>
      <c r="AA45" s="43">
        <f t="shared" si="26"/>
        <v>0.17181913780513899</v>
      </c>
      <c r="AC45" s="44">
        <f t="shared" si="27"/>
        <v>11.539840625230743</v>
      </c>
      <c r="AE45" s="44">
        <f t="shared" si="7"/>
        <v>21.739074773940292</v>
      </c>
    </row>
    <row r="46" spans="1:34" x14ac:dyDescent="0.35">
      <c r="A46" s="33">
        <f t="shared" si="18"/>
        <v>410</v>
      </c>
      <c r="B46" s="39">
        <f t="shared" si="8"/>
        <v>4.4833511703000983E-2</v>
      </c>
      <c r="C46" s="40">
        <f t="shared" si="9"/>
        <v>476.63564173430188</v>
      </c>
      <c r="D46" s="41">
        <f t="shared" si="19"/>
        <v>8.7600000000000016</v>
      </c>
      <c r="E46" s="41">
        <f t="shared" si="20"/>
        <v>1.1300977799999998</v>
      </c>
      <c r="G46" s="12">
        <v>0</v>
      </c>
      <c r="H46" s="42">
        <f t="shared" si="21"/>
        <v>40.557384558104751</v>
      </c>
      <c r="K46" s="43">
        <f t="shared" si="14"/>
        <v>202.78692279052376</v>
      </c>
      <c r="L46" s="40">
        <f t="shared" si="0"/>
        <v>9.091649876144503</v>
      </c>
      <c r="M46" s="40"/>
      <c r="N46" s="43">
        <f>'Gain-Sub-Exp'!$D$19*E46^2/$T$2</f>
        <v>29.680669100210604</v>
      </c>
      <c r="O46" s="43">
        <f>N46/60</f>
        <v>0.49467781833684338</v>
      </c>
      <c r="Q46" s="51">
        <f>('Gain-Sub-Exp'!O50)</f>
        <v>485.1642647064794</v>
      </c>
      <c r="R46" s="43">
        <f>$R$2*N46</f>
        <v>0.1842001431289802</v>
      </c>
      <c r="S46" s="43"/>
      <c r="T46" s="42">
        <f>$T$2*N46</f>
        <v>12.771209923609279</v>
      </c>
      <c r="U46" s="43">
        <f t="shared" si="2"/>
        <v>10</v>
      </c>
      <c r="W46" s="42">
        <f t="shared" si="3"/>
        <v>454.58858179141913</v>
      </c>
      <c r="X46" s="43">
        <f t="shared" si="4"/>
        <v>3.7726026903318597</v>
      </c>
      <c r="Y46" s="43">
        <f>20*LOG(W46/X46)/6</f>
        <v>6.9365915098123176</v>
      </c>
      <c r="Z46" s="43"/>
      <c r="AA46" s="43">
        <f>X46/SQRT(Q46)</f>
        <v>0.17127606144426785</v>
      </c>
      <c r="AC46" s="44">
        <f>LOG(SQRT(Q46)*(W46/X46))/LOG(2)</f>
        <v>11.374022206209846</v>
      </c>
      <c r="AE46" s="44">
        <f t="shared" si="7"/>
        <v>21.739074773940295</v>
      </c>
    </row>
    <row r="47" spans="1:34" x14ac:dyDescent="0.35">
      <c r="A47" s="33">
        <f t="shared" si="18"/>
        <v>420</v>
      </c>
      <c r="B47" s="39">
        <f t="shared" si="8"/>
        <v>4.0264140895996281E-2</v>
      </c>
      <c r="C47" s="40">
        <f t="shared" si="9"/>
        <v>425.60953659815965</v>
      </c>
      <c r="D47" s="41">
        <f t="shared" si="19"/>
        <v>8.609</v>
      </c>
      <c r="E47" s="41">
        <f t="shared" si="20"/>
        <v>1.1290123200000002</v>
      </c>
      <c r="G47" s="12">
        <v>0</v>
      </c>
      <c r="H47" s="42">
        <f t="shared" si="21"/>
        <v>42.722165073293652</v>
      </c>
      <c r="K47" s="43">
        <f t="shared" si="14"/>
        <v>213.61082536646825</v>
      </c>
      <c r="L47" s="40">
        <f t="shared" si="0"/>
        <v>8.600856369465534</v>
      </c>
      <c r="M47" s="40"/>
      <c r="N47" s="43">
        <f>'Gain-Sub-Exp'!$D$19*E47^2/$T$2</f>
        <v>29.62367986027807</v>
      </c>
      <c r="O47" s="43">
        <f>N47/60</f>
        <v>0.49372799767130116</v>
      </c>
      <c r="Q47" s="51">
        <f>('Gain-Sub-Exp'!O51)</f>
        <v>486.09761069247634</v>
      </c>
      <c r="R47" s="43">
        <f>$R$2*N47</f>
        <v>0.18384646423727657</v>
      </c>
      <c r="S47" s="43"/>
      <c r="T47" s="42">
        <f>$T$2*N47</f>
        <v>12.746688187117828</v>
      </c>
      <c r="U47" s="43">
        <f t="shared" si="2"/>
        <v>10</v>
      </c>
      <c r="W47" s="42">
        <f t="shared" si="3"/>
        <v>404.078145577339</v>
      </c>
      <c r="X47" s="43">
        <f t="shared" si="4"/>
        <v>3.7689791018347245</v>
      </c>
      <c r="Y47" s="43">
        <f>20*LOG(W47/X47)/6</f>
        <v>6.7674721100901634</v>
      </c>
      <c r="Z47" s="43"/>
      <c r="AA47" s="43">
        <f>X47/SQRT(Q47)</f>
        <v>0.17094719781496787</v>
      </c>
      <c r="AC47" s="44">
        <f>LOG(SQRT(Q47)*(W47/X47))/LOG(2)</f>
        <v>11.206867836494371</v>
      </c>
      <c r="AE47" s="44">
        <f t="shared" si="7"/>
        <v>21.739074773940292</v>
      </c>
    </row>
    <row r="48" spans="1:34" x14ac:dyDescent="0.35">
      <c r="A48" s="33">
        <f t="shared" si="18"/>
        <v>430</v>
      </c>
      <c r="B48" s="39">
        <f t="shared" si="8"/>
        <v>3.3270484628995067E-2</v>
      </c>
      <c r="C48" s="40">
        <f t="shared" si="9"/>
        <v>380.04601792720672</v>
      </c>
      <c r="D48" s="41">
        <f t="shared" si="19"/>
        <v>8.4580000000000002</v>
      </c>
      <c r="E48" s="41">
        <f t="shared" si="20"/>
        <v>1.1286316200000002</v>
      </c>
      <c r="G48" s="12">
        <v>0</v>
      </c>
      <c r="H48" s="42">
        <f t="shared" si="21"/>
        <v>45.002492355859239</v>
      </c>
      <c r="K48" s="43">
        <f t="shared" si="14"/>
        <v>225.01246177929619</v>
      </c>
      <c r="L48" s="40">
        <f t="shared" si="0"/>
        <v>7.4862736509604142</v>
      </c>
      <c r="M48" s="40"/>
      <c r="N48" s="43">
        <f>'Gain-Sub-Exp'!$D$19*E48^2/$T$2</f>
        <v>29.603705173887658</v>
      </c>
      <c r="O48" s="43">
        <f>N48/60</f>
        <v>0.49339508623146094</v>
      </c>
      <c r="Q48" s="51">
        <f>('Gain-Sub-Exp'!O52)</f>
        <v>486.42559826266989</v>
      </c>
      <c r="R48" s="43">
        <f>$R$2*N48</f>
        <v>0.18372250004766724</v>
      </c>
      <c r="S48" s="43"/>
      <c r="T48" s="42">
        <f>$T$2*N48</f>
        <v>12.738093336638247</v>
      </c>
      <c r="U48" s="43">
        <f t="shared" si="2"/>
        <v>10</v>
      </c>
      <c r="W48" s="42">
        <f t="shared" si="3"/>
        <v>359.63792843956037</v>
      </c>
      <c r="X48" s="43">
        <f t="shared" si="4"/>
        <v>3.7677082119439316</v>
      </c>
      <c r="Y48" s="43">
        <f>20*LOG(W48/X48)/6</f>
        <v>6.5992940855965019</v>
      </c>
      <c r="Z48" s="43"/>
      <c r="AA48" s="43">
        <f>X48/SQRT(Q48)</f>
        <v>0.17083193135645297</v>
      </c>
      <c r="AC48" s="44">
        <f>LOG(SQRT(Q48)*(W48/X48))/LOG(2)</f>
        <v>11.039751800171745</v>
      </c>
      <c r="AE48" s="44">
        <f t="shared" si="7"/>
        <v>21.739074773940292</v>
      </c>
    </row>
    <row r="49" spans="1:31" x14ac:dyDescent="0.35">
      <c r="A49" s="33">
        <f t="shared" si="18"/>
        <v>440</v>
      </c>
      <c r="B49" s="39">
        <f t="shared" si="8"/>
        <v>2.2871427071992745E-2</v>
      </c>
      <c r="C49" s="40">
        <f t="shared" si="9"/>
        <v>339.36028994269282</v>
      </c>
      <c r="D49" s="41">
        <f t="shared" si="19"/>
        <v>8.3070000000000004</v>
      </c>
      <c r="E49" s="41">
        <f t="shared" si="20"/>
        <v>1.1289556800000002</v>
      </c>
      <c r="G49" s="12">
        <v>0</v>
      </c>
      <c r="H49" s="42">
        <f t="shared" si="21"/>
        <v>47.404533800305252</v>
      </c>
      <c r="K49" s="43">
        <f t="shared" si="14"/>
        <v>237.02266900152625</v>
      </c>
      <c r="L49" s="40">
        <f t="shared" si="0"/>
        <v>5.4210466884774835</v>
      </c>
      <c r="M49" s="40"/>
      <c r="N49" s="43">
        <f>'Gain-Sub-Exp'!$D$19*E49^2/$T$2</f>
        <v>29.620707628514598</v>
      </c>
      <c r="O49" s="43">
        <f>N49/60</f>
        <v>0.49367846047524327</v>
      </c>
      <c r="Q49" s="51">
        <f>('Gain-Sub-Exp'!O53)</f>
        <v>486.14638720304345</v>
      </c>
      <c r="R49" s="43">
        <f>$R$2*N49</f>
        <v>0.18382801837561505</v>
      </c>
      <c r="S49" s="43"/>
      <c r="T49" s="42">
        <f>$T$2*N49</f>
        <v>12.745409274042629</v>
      </c>
      <c r="U49" s="43">
        <f t="shared" si="2"/>
        <v>10</v>
      </c>
      <c r="W49" s="42">
        <f t="shared" si="3"/>
        <v>321.01000596179711</v>
      </c>
      <c r="X49" s="43">
        <f t="shared" si="4"/>
        <v>3.7687900206594831</v>
      </c>
      <c r="Y49" s="43">
        <f>20*LOG(W49/X49)/6</f>
        <v>6.4343887613839321</v>
      </c>
      <c r="Z49" s="43"/>
      <c r="AA49" s="43">
        <f>X49/SQRT(Q49)</f>
        <v>0.17093004617500898</v>
      </c>
      <c r="AC49" s="44">
        <f>LOG(SQRT(Q49)*(W49/X49))/LOG(2)</f>
        <v>10.874996534862152</v>
      </c>
      <c r="AE49" s="44">
        <f t="shared" si="7"/>
        <v>21.739074773940295</v>
      </c>
    </row>
    <row r="50" spans="1:31" x14ac:dyDescent="0.35">
      <c r="A50" s="87">
        <f t="shared" si="18"/>
        <v>450</v>
      </c>
      <c r="B50" s="39">
        <f t="shared" si="8"/>
        <v>7.9432718749949949E-3</v>
      </c>
      <c r="C50" s="40">
        <f t="shared" si="9"/>
        <v>303.03016202645023</v>
      </c>
      <c r="D50" s="41">
        <f t="shared" si="19"/>
        <v>8.1560000000000006</v>
      </c>
      <c r="E50" s="41">
        <f t="shared" si="20"/>
        <v>1.1299844999999999</v>
      </c>
      <c r="G50" s="12">
        <v>0</v>
      </c>
      <c r="H50" s="42">
        <f t="shared" si="21"/>
        <v>49.934785990396442</v>
      </c>
      <c r="K50" s="43">
        <f t="shared" si="14"/>
        <v>249.67392995198222</v>
      </c>
      <c r="L50" s="40">
        <f t="shared" si="0"/>
        <v>1.9832279057070508</v>
      </c>
      <c r="M50" s="40"/>
      <c r="N50" s="43">
        <f>'Gain-Sub-Exp'!$D$19*E50^2/$T$2</f>
        <v>29.674719070501883</v>
      </c>
      <c r="O50" s="43">
        <f>N50/60</f>
        <v>0.49457865117503136</v>
      </c>
      <c r="Q50" s="51">
        <f>('Gain-Sub-Exp'!O54)</f>
        <v>485.26154420495601</v>
      </c>
      <c r="R50" s="43">
        <f>$R$2*N50</f>
        <v>0.18416321686157472</v>
      </c>
      <c r="S50" s="43"/>
      <c r="T50" s="42">
        <f>$T$2*N50</f>
        <v>12.768649702402499</v>
      </c>
      <c r="U50" s="43">
        <f t="shared" si="2"/>
        <v>10</v>
      </c>
      <c r="W50" s="42">
        <f t="shared" si="3"/>
        <v>288.09412120147908</v>
      </c>
      <c r="X50" s="43">
        <f t="shared" si="4"/>
        <v>3.7722245279813773</v>
      </c>
      <c r="Y50" s="43">
        <f>20*LOG(W50/X50)/6</f>
        <v>6.2764562053163688</v>
      </c>
      <c r="Z50" s="43"/>
      <c r="AA50" s="43">
        <f>X50/SQRT(Q50)</f>
        <v>0.17124172604399285</v>
      </c>
      <c r="AC50" s="44">
        <f>LOG(SQRT(Q50)*(W50/X50))/LOG(2)</f>
        <v>10.716290223601122</v>
      </c>
      <c r="AE50" s="44">
        <f t="shared" si="7"/>
        <v>21.739074773940292</v>
      </c>
    </row>
    <row r="51" spans="1:31" x14ac:dyDescent="0.35">
      <c r="A51" s="33"/>
      <c r="B51" s="39"/>
      <c r="C51" s="40"/>
      <c r="L51" s="86"/>
      <c r="M51" s="86"/>
      <c r="AC51" s="86"/>
    </row>
    <row r="52" spans="1:31" ht="15" customHeight="1" x14ac:dyDescent="0.35">
      <c r="A52" s="159" t="s">
        <v>44</v>
      </c>
      <c r="B52" s="160"/>
      <c r="C52" s="160"/>
      <c r="D52" s="160"/>
      <c r="E52" s="160"/>
      <c r="F52" s="160"/>
      <c r="G52" s="160"/>
      <c r="H52" s="161"/>
      <c r="I52" s="46"/>
      <c r="J52" s="99"/>
      <c r="Y52" s="32"/>
    </row>
    <row r="53" spans="1:31" ht="15" customHeight="1" x14ac:dyDescent="0.35">
      <c r="A53" s="149" t="s">
        <v>45</v>
      </c>
      <c r="B53" s="150"/>
      <c r="C53" s="150"/>
      <c r="D53" s="150"/>
      <c r="E53" s="150"/>
      <c r="F53" s="150"/>
      <c r="G53" s="150"/>
      <c r="H53" s="151"/>
      <c r="I53" s="47"/>
      <c r="J53" s="97"/>
      <c r="Y53" s="32"/>
    </row>
    <row r="54" spans="1:31" ht="15" customHeight="1" x14ac:dyDescent="0.35">
      <c r="A54" s="149"/>
      <c r="B54" s="150"/>
      <c r="C54" s="150"/>
      <c r="D54" s="150"/>
      <c r="E54" s="150"/>
      <c r="F54" s="150"/>
      <c r="G54" s="150"/>
      <c r="H54" s="151"/>
      <c r="I54" s="47"/>
      <c r="J54" s="97"/>
      <c r="Y54" s="32"/>
    </row>
    <row r="55" spans="1:31" ht="15" customHeight="1" x14ac:dyDescent="0.35">
      <c r="A55" s="149" t="s">
        <v>46</v>
      </c>
      <c r="B55" s="150"/>
      <c r="C55" s="150"/>
      <c r="D55" s="150"/>
      <c r="E55" s="150"/>
      <c r="F55" s="150"/>
      <c r="G55" s="150"/>
      <c r="H55" s="151"/>
      <c r="I55" s="47"/>
      <c r="J55" s="97"/>
      <c r="Y55" s="32"/>
    </row>
    <row r="56" spans="1:31" ht="15" customHeight="1" x14ac:dyDescent="0.35">
      <c r="A56" s="149"/>
      <c r="B56" s="150"/>
      <c r="C56" s="150"/>
      <c r="D56" s="150"/>
      <c r="E56" s="150"/>
      <c r="F56" s="150"/>
      <c r="G56" s="150"/>
      <c r="H56" s="151"/>
      <c r="I56" s="47"/>
      <c r="J56" s="97"/>
      <c r="Y56" s="32"/>
    </row>
    <row r="57" spans="1:31" ht="15.75" customHeight="1" x14ac:dyDescent="0.35">
      <c r="A57" s="149" t="s">
        <v>47</v>
      </c>
      <c r="B57" s="150"/>
      <c r="C57" s="150"/>
      <c r="D57" s="150"/>
      <c r="E57" s="150"/>
      <c r="F57" s="150"/>
      <c r="G57" s="150"/>
      <c r="H57" s="151"/>
      <c r="I57" s="47"/>
      <c r="J57" s="97"/>
      <c r="Y57" s="32"/>
    </row>
    <row r="58" spans="1:31" ht="15.75" customHeight="1" x14ac:dyDescent="0.35">
      <c r="A58" s="149"/>
      <c r="B58" s="150"/>
      <c r="C58" s="150"/>
      <c r="D58" s="150"/>
      <c r="E58" s="150"/>
      <c r="F58" s="150"/>
      <c r="G58" s="150"/>
      <c r="H58" s="151"/>
      <c r="I58" s="47"/>
      <c r="J58" s="97"/>
      <c r="Y58" s="32"/>
    </row>
    <row r="59" spans="1:31" ht="15.75" customHeight="1" x14ac:dyDescent="0.35">
      <c r="A59" s="149" t="s">
        <v>48</v>
      </c>
      <c r="B59" s="150"/>
      <c r="C59" s="150"/>
      <c r="D59" s="150"/>
      <c r="E59" s="150"/>
      <c r="F59" s="150"/>
      <c r="G59" s="150"/>
      <c r="H59" s="151"/>
      <c r="I59" s="47"/>
      <c r="J59" s="97"/>
      <c r="Y59" s="32"/>
    </row>
    <row r="60" spans="1:31" ht="15.75" customHeight="1" x14ac:dyDescent="0.45">
      <c r="A60" s="149" t="s">
        <v>49</v>
      </c>
      <c r="B60" s="150"/>
      <c r="C60" s="150"/>
      <c r="D60" s="150"/>
      <c r="E60" s="150"/>
      <c r="F60" s="150"/>
      <c r="G60" s="150"/>
      <c r="H60" s="151"/>
      <c r="I60" s="47"/>
      <c r="J60" s="97"/>
      <c r="Y60" s="32"/>
    </row>
    <row r="61" spans="1:31" ht="15.75" customHeight="1" x14ac:dyDescent="0.35">
      <c r="A61" s="149"/>
      <c r="B61" s="150"/>
      <c r="C61" s="150"/>
      <c r="D61" s="150"/>
      <c r="E61" s="150"/>
      <c r="F61" s="150"/>
      <c r="G61" s="150"/>
      <c r="H61" s="151"/>
      <c r="I61" s="47"/>
      <c r="J61" s="97"/>
      <c r="Y61" s="32"/>
    </row>
    <row r="62" spans="1:31" x14ac:dyDescent="0.35">
      <c r="A62" s="149" t="s">
        <v>50</v>
      </c>
      <c r="B62" s="150"/>
      <c r="C62" s="150"/>
      <c r="D62" s="150"/>
      <c r="E62" s="150"/>
      <c r="F62" s="150"/>
      <c r="G62" s="150"/>
      <c r="H62" s="151"/>
      <c r="I62" s="47"/>
      <c r="J62" s="97"/>
    </row>
    <row r="63" spans="1:31" ht="16.5" x14ac:dyDescent="0.45">
      <c r="A63" s="149" t="s">
        <v>51</v>
      </c>
      <c r="B63" s="150"/>
      <c r="C63" s="150"/>
      <c r="D63" s="150"/>
      <c r="E63" s="150"/>
      <c r="F63" s="150"/>
      <c r="G63" s="150"/>
      <c r="H63" s="151"/>
      <c r="I63" s="47"/>
      <c r="J63" s="97"/>
    </row>
    <row r="64" spans="1:31" x14ac:dyDescent="0.35">
      <c r="A64" s="152"/>
      <c r="B64" s="153"/>
      <c r="C64" s="153"/>
      <c r="D64" s="153"/>
      <c r="E64" s="153"/>
      <c r="F64" s="153"/>
      <c r="G64" s="153"/>
      <c r="H64" s="154"/>
      <c r="I64" s="46"/>
      <c r="J64" s="99"/>
    </row>
    <row r="65" spans="1:10" ht="16.5" x14ac:dyDescent="0.35">
      <c r="A65" s="155" t="s">
        <v>52</v>
      </c>
      <c r="B65" s="156"/>
      <c r="C65" s="156"/>
      <c r="D65" s="156"/>
      <c r="E65" s="156"/>
      <c r="F65" s="156"/>
      <c r="G65" s="156"/>
      <c r="H65" s="157"/>
      <c r="I65" s="47"/>
      <c r="J65" s="97"/>
    </row>
  </sheetData>
  <mergeCells count="15">
    <mergeCell ref="A56:H56"/>
    <mergeCell ref="A2:H2"/>
    <mergeCell ref="A52:H52"/>
    <mergeCell ref="A53:H53"/>
    <mergeCell ref="A54:H54"/>
    <mergeCell ref="A55:H55"/>
    <mergeCell ref="A63:H63"/>
    <mergeCell ref="A64:H64"/>
    <mergeCell ref="A65:H65"/>
    <mergeCell ref="A57:H57"/>
    <mergeCell ref="A58:H58"/>
    <mergeCell ref="A59:H59"/>
    <mergeCell ref="A60:H60"/>
    <mergeCell ref="A61:H61"/>
    <mergeCell ref="A62:H6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zoomScale="70" zoomScaleNormal="70" workbookViewId="0">
      <selection activeCell="Y15" sqref="Y15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7"/>
  <sheetViews>
    <sheetView zoomScaleNormal="100" workbookViewId="0">
      <selection activeCell="H27" sqref="H27"/>
    </sheetView>
  </sheetViews>
  <sheetFormatPr defaultRowHeight="14.5" x14ac:dyDescent="0.35"/>
  <sheetData>
    <row r="1" spans="1:2" x14ac:dyDescent="0.35">
      <c r="A1" t="s">
        <v>72</v>
      </c>
      <c r="B1" t="s">
        <v>27</v>
      </c>
    </row>
    <row r="2" spans="1:2" x14ac:dyDescent="0.35">
      <c r="A2" s="87">
        <v>0</v>
      </c>
      <c r="B2">
        <v>50</v>
      </c>
    </row>
    <row r="3" spans="1:2" x14ac:dyDescent="0.35">
      <c r="A3">
        <f>A2+10</f>
        <v>10</v>
      </c>
    </row>
    <row r="4" spans="1:2" x14ac:dyDescent="0.35">
      <c r="A4">
        <f t="shared" ref="A4:A39" si="0">A3+10</f>
        <v>20</v>
      </c>
    </row>
    <row r="5" spans="1:2" x14ac:dyDescent="0.35">
      <c r="A5">
        <f t="shared" si="0"/>
        <v>30</v>
      </c>
    </row>
    <row r="6" spans="1:2" x14ac:dyDescent="0.35">
      <c r="A6">
        <f t="shared" si="0"/>
        <v>40</v>
      </c>
    </row>
    <row r="7" spans="1:2" x14ac:dyDescent="0.35">
      <c r="A7" s="87">
        <f t="shared" si="0"/>
        <v>50</v>
      </c>
      <c r="B7">
        <v>28</v>
      </c>
    </row>
    <row r="8" spans="1:2" x14ac:dyDescent="0.35">
      <c r="A8">
        <f t="shared" si="0"/>
        <v>60</v>
      </c>
    </row>
    <row r="9" spans="1:2" x14ac:dyDescent="0.35">
      <c r="A9">
        <f t="shared" si="0"/>
        <v>70</v>
      </c>
    </row>
    <row r="10" spans="1:2" x14ac:dyDescent="0.35">
      <c r="A10">
        <f t="shared" si="0"/>
        <v>80</v>
      </c>
    </row>
    <row r="11" spans="1:2" x14ac:dyDescent="0.35">
      <c r="A11">
        <f t="shared" si="0"/>
        <v>90</v>
      </c>
    </row>
    <row r="12" spans="1:2" x14ac:dyDescent="0.35">
      <c r="A12" s="87">
        <f t="shared" si="0"/>
        <v>100</v>
      </c>
      <c r="B12">
        <v>16.2</v>
      </c>
    </row>
    <row r="13" spans="1:2" x14ac:dyDescent="0.35">
      <c r="A13">
        <f t="shared" si="0"/>
        <v>110</v>
      </c>
    </row>
    <row r="14" spans="1:2" x14ac:dyDescent="0.35">
      <c r="A14" s="33">
        <f t="shared" si="0"/>
        <v>120</v>
      </c>
    </row>
    <row r="15" spans="1:2" x14ac:dyDescent="0.35">
      <c r="A15" s="33">
        <f t="shared" si="0"/>
        <v>130</v>
      </c>
    </row>
    <row r="16" spans="1:2" x14ac:dyDescent="0.35">
      <c r="A16">
        <f t="shared" si="0"/>
        <v>140</v>
      </c>
    </row>
    <row r="17" spans="1:2" x14ac:dyDescent="0.35">
      <c r="A17" s="87">
        <f t="shared" si="0"/>
        <v>150</v>
      </c>
      <c r="B17">
        <v>9</v>
      </c>
    </row>
    <row r="18" spans="1:2" x14ac:dyDescent="0.35">
      <c r="A18">
        <f t="shared" si="0"/>
        <v>160</v>
      </c>
    </row>
    <row r="19" spans="1:2" x14ac:dyDescent="0.35">
      <c r="A19">
        <f t="shared" si="0"/>
        <v>170</v>
      </c>
    </row>
    <row r="20" spans="1:2" x14ac:dyDescent="0.35">
      <c r="A20">
        <f t="shared" si="0"/>
        <v>180</v>
      </c>
    </row>
    <row r="21" spans="1:2" x14ac:dyDescent="0.35">
      <c r="A21">
        <f t="shared" si="0"/>
        <v>190</v>
      </c>
    </row>
    <row r="22" spans="1:2" x14ac:dyDescent="0.35">
      <c r="A22" s="87">
        <f t="shared" si="0"/>
        <v>200</v>
      </c>
      <c r="B22">
        <v>5</v>
      </c>
    </row>
    <row r="23" spans="1:2" x14ac:dyDescent="0.35">
      <c r="A23">
        <f t="shared" si="0"/>
        <v>210</v>
      </c>
    </row>
    <row r="24" spans="1:2" x14ac:dyDescent="0.35">
      <c r="A24">
        <f t="shared" si="0"/>
        <v>220</v>
      </c>
    </row>
    <row r="25" spans="1:2" x14ac:dyDescent="0.35">
      <c r="A25">
        <f t="shared" si="0"/>
        <v>230</v>
      </c>
    </row>
    <row r="26" spans="1:2" x14ac:dyDescent="0.35">
      <c r="A26">
        <f t="shared" si="0"/>
        <v>240</v>
      </c>
    </row>
    <row r="27" spans="1:2" x14ac:dyDescent="0.35">
      <c r="A27" s="87">
        <f t="shared" si="0"/>
        <v>250</v>
      </c>
      <c r="B27">
        <v>3</v>
      </c>
    </row>
    <row r="28" spans="1:2" x14ac:dyDescent="0.35">
      <c r="A28">
        <f t="shared" si="0"/>
        <v>260</v>
      </c>
    </row>
    <row r="29" spans="1:2" x14ac:dyDescent="0.35">
      <c r="A29">
        <f t="shared" si="0"/>
        <v>270</v>
      </c>
    </row>
    <row r="30" spans="1:2" x14ac:dyDescent="0.35">
      <c r="A30">
        <f t="shared" si="0"/>
        <v>280</v>
      </c>
    </row>
    <row r="31" spans="1:2" x14ac:dyDescent="0.35">
      <c r="A31">
        <f t="shared" si="0"/>
        <v>290</v>
      </c>
    </row>
    <row r="32" spans="1:2" x14ac:dyDescent="0.35">
      <c r="A32" s="87">
        <f t="shared" si="0"/>
        <v>300</v>
      </c>
      <c r="B32">
        <v>1.65</v>
      </c>
    </row>
    <row r="33" spans="1:2" x14ac:dyDescent="0.35">
      <c r="A33">
        <f t="shared" si="0"/>
        <v>310</v>
      </c>
    </row>
    <row r="34" spans="1:2" x14ac:dyDescent="0.35">
      <c r="A34">
        <f t="shared" si="0"/>
        <v>320</v>
      </c>
    </row>
    <row r="35" spans="1:2" x14ac:dyDescent="0.35">
      <c r="A35">
        <f t="shared" si="0"/>
        <v>330</v>
      </c>
    </row>
    <row r="36" spans="1:2" x14ac:dyDescent="0.35">
      <c r="A36">
        <f t="shared" si="0"/>
        <v>340</v>
      </c>
    </row>
    <row r="37" spans="1:2" x14ac:dyDescent="0.35">
      <c r="A37" s="87">
        <f t="shared" si="0"/>
        <v>350</v>
      </c>
      <c r="B37">
        <v>0.9</v>
      </c>
    </row>
    <row r="38" spans="1:2" x14ac:dyDescent="0.35">
      <c r="A38">
        <f t="shared" si="0"/>
        <v>360</v>
      </c>
    </row>
    <row r="39" spans="1:2" x14ac:dyDescent="0.35">
      <c r="A39" s="33">
        <f t="shared" si="0"/>
        <v>370</v>
      </c>
    </row>
    <row r="40" spans="1:2" x14ac:dyDescent="0.35">
      <c r="A40" s="33">
        <f t="shared" ref="A40:A47" si="1">A39+10</f>
        <v>380</v>
      </c>
    </row>
    <row r="41" spans="1:2" x14ac:dyDescent="0.35">
      <c r="A41" s="33">
        <f t="shared" si="1"/>
        <v>390</v>
      </c>
    </row>
    <row r="42" spans="1:2" x14ac:dyDescent="0.35">
      <c r="A42" s="87">
        <f t="shared" si="1"/>
        <v>400</v>
      </c>
      <c r="B42">
        <v>0.52</v>
      </c>
    </row>
    <row r="43" spans="1:2" x14ac:dyDescent="0.35">
      <c r="A43" s="33">
        <f t="shared" si="1"/>
        <v>410</v>
      </c>
    </row>
    <row r="44" spans="1:2" x14ac:dyDescent="0.35">
      <c r="A44" s="33">
        <f t="shared" si="1"/>
        <v>420</v>
      </c>
    </row>
    <row r="45" spans="1:2" x14ac:dyDescent="0.35">
      <c r="A45" s="33">
        <f t="shared" si="1"/>
        <v>430</v>
      </c>
    </row>
    <row r="46" spans="1:2" x14ac:dyDescent="0.35">
      <c r="A46" s="33">
        <f t="shared" si="1"/>
        <v>440</v>
      </c>
    </row>
    <row r="47" spans="1:2" x14ac:dyDescent="0.35">
      <c r="A47" s="87">
        <f t="shared" si="1"/>
        <v>450</v>
      </c>
      <c r="B47">
        <v>0.32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7"/>
  <sheetViews>
    <sheetView zoomScaleNormal="100" workbookViewId="0">
      <selection activeCell="I17" sqref="I17"/>
    </sheetView>
  </sheetViews>
  <sheetFormatPr defaultRowHeight="14.5" x14ac:dyDescent="0.35"/>
  <cols>
    <col min="1" max="1" width="9.08984375" style="12"/>
    <col min="2" max="2" width="12.6328125" style="12" customWidth="1"/>
  </cols>
  <sheetData>
    <row r="1" spans="1:2" x14ac:dyDescent="0.35">
      <c r="A1" s="12" t="s">
        <v>72</v>
      </c>
      <c r="B1" s="12" t="s">
        <v>72</v>
      </c>
    </row>
    <row r="2" spans="1:2" x14ac:dyDescent="0.35">
      <c r="A2" s="87">
        <v>0</v>
      </c>
      <c r="B2" s="39">
        <v>3.2</v>
      </c>
    </row>
    <row r="3" spans="1:2" x14ac:dyDescent="0.35">
      <c r="A3">
        <f>A2+10</f>
        <v>10</v>
      </c>
      <c r="B3" s="39"/>
    </row>
    <row r="4" spans="1:2" x14ac:dyDescent="0.35">
      <c r="A4">
        <f t="shared" ref="A4:A47" si="0">A3+10</f>
        <v>20</v>
      </c>
      <c r="B4" s="39"/>
    </row>
    <row r="5" spans="1:2" x14ac:dyDescent="0.35">
      <c r="A5">
        <f t="shared" si="0"/>
        <v>30</v>
      </c>
      <c r="B5" s="39"/>
    </row>
    <row r="6" spans="1:2" x14ac:dyDescent="0.35">
      <c r="A6">
        <f t="shared" si="0"/>
        <v>40</v>
      </c>
      <c r="B6" s="39"/>
    </row>
    <row r="7" spans="1:2" x14ac:dyDescent="0.35">
      <c r="A7" s="87">
        <f t="shared" si="0"/>
        <v>50</v>
      </c>
      <c r="B7" s="39">
        <v>1.76</v>
      </c>
    </row>
    <row r="8" spans="1:2" x14ac:dyDescent="0.35">
      <c r="A8">
        <f t="shared" si="0"/>
        <v>60</v>
      </c>
      <c r="B8" s="39"/>
    </row>
    <row r="9" spans="1:2" x14ac:dyDescent="0.35">
      <c r="A9">
        <f t="shared" si="0"/>
        <v>70</v>
      </c>
      <c r="B9" s="39"/>
    </row>
    <row r="10" spans="1:2" x14ac:dyDescent="0.35">
      <c r="A10">
        <f t="shared" si="0"/>
        <v>80</v>
      </c>
      <c r="B10" s="39"/>
    </row>
    <row r="11" spans="1:2" x14ac:dyDescent="0.35">
      <c r="A11">
        <f t="shared" si="0"/>
        <v>90</v>
      </c>
      <c r="B11" s="39"/>
    </row>
    <row r="12" spans="1:2" x14ac:dyDescent="0.35">
      <c r="A12" s="87">
        <f t="shared" si="0"/>
        <v>100</v>
      </c>
      <c r="B12" s="39">
        <v>1</v>
      </c>
    </row>
    <row r="13" spans="1:2" x14ac:dyDescent="0.35">
      <c r="A13">
        <f t="shared" si="0"/>
        <v>110</v>
      </c>
      <c r="B13" s="39"/>
    </row>
    <row r="14" spans="1:2" x14ac:dyDescent="0.35">
      <c r="A14" s="33">
        <f t="shared" si="0"/>
        <v>120</v>
      </c>
      <c r="B14" s="39"/>
    </row>
    <row r="15" spans="1:2" x14ac:dyDescent="0.35">
      <c r="A15" s="33">
        <f t="shared" si="0"/>
        <v>130</v>
      </c>
      <c r="B15" s="39"/>
    </row>
    <row r="16" spans="1:2" x14ac:dyDescent="0.35">
      <c r="A16">
        <f t="shared" si="0"/>
        <v>140</v>
      </c>
      <c r="B16" s="39"/>
    </row>
    <row r="17" spans="1:2" x14ac:dyDescent="0.35">
      <c r="A17" s="87">
        <f t="shared" si="0"/>
        <v>150</v>
      </c>
      <c r="B17" s="39">
        <v>0.58499999999999996</v>
      </c>
    </row>
    <row r="18" spans="1:2" x14ac:dyDescent="0.35">
      <c r="A18">
        <f t="shared" si="0"/>
        <v>160</v>
      </c>
      <c r="B18" s="39"/>
    </row>
    <row r="19" spans="1:2" x14ac:dyDescent="0.35">
      <c r="A19">
        <f t="shared" si="0"/>
        <v>170</v>
      </c>
      <c r="B19" s="39"/>
    </row>
    <row r="20" spans="1:2" x14ac:dyDescent="0.35">
      <c r="A20">
        <f t="shared" si="0"/>
        <v>180</v>
      </c>
      <c r="B20" s="39"/>
    </row>
    <row r="21" spans="1:2" x14ac:dyDescent="0.35">
      <c r="A21">
        <f t="shared" si="0"/>
        <v>190</v>
      </c>
      <c r="B21" s="39"/>
    </row>
    <row r="22" spans="1:2" x14ac:dyDescent="0.35">
      <c r="A22" s="87">
        <f t="shared" si="0"/>
        <v>200</v>
      </c>
      <c r="B22" s="39">
        <v>0.32</v>
      </c>
    </row>
    <row r="23" spans="1:2" x14ac:dyDescent="0.35">
      <c r="A23">
        <f t="shared" si="0"/>
        <v>210</v>
      </c>
      <c r="B23" s="39"/>
    </row>
    <row r="24" spans="1:2" x14ac:dyDescent="0.35">
      <c r="A24">
        <f t="shared" si="0"/>
        <v>220</v>
      </c>
      <c r="B24" s="39"/>
    </row>
    <row r="25" spans="1:2" x14ac:dyDescent="0.35">
      <c r="A25">
        <f t="shared" si="0"/>
        <v>230</v>
      </c>
      <c r="B25" s="39"/>
    </row>
    <row r="26" spans="1:2" x14ac:dyDescent="0.35">
      <c r="A26">
        <f t="shared" si="0"/>
        <v>240</v>
      </c>
      <c r="B26" s="39"/>
    </row>
    <row r="27" spans="1:2" x14ac:dyDescent="0.35">
      <c r="A27" s="87">
        <f t="shared" si="0"/>
        <v>250</v>
      </c>
      <c r="B27" s="39">
        <v>0.2</v>
      </c>
    </row>
    <row r="28" spans="1:2" x14ac:dyDescent="0.35">
      <c r="A28">
        <f t="shared" si="0"/>
        <v>260</v>
      </c>
      <c r="B28" s="39"/>
    </row>
    <row r="29" spans="1:2" x14ac:dyDescent="0.35">
      <c r="A29">
        <f t="shared" si="0"/>
        <v>270</v>
      </c>
      <c r="B29" s="39"/>
    </row>
    <row r="30" spans="1:2" x14ac:dyDescent="0.35">
      <c r="A30">
        <f t="shared" si="0"/>
        <v>280</v>
      </c>
      <c r="B30" s="39"/>
    </row>
    <row r="31" spans="1:2" x14ac:dyDescent="0.35">
      <c r="A31">
        <f t="shared" si="0"/>
        <v>290</v>
      </c>
      <c r="B31" s="39"/>
    </row>
    <row r="32" spans="1:2" x14ac:dyDescent="0.35">
      <c r="A32" s="87">
        <f t="shared" si="0"/>
        <v>300</v>
      </c>
      <c r="B32" s="39">
        <v>0.1</v>
      </c>
    </row>
    <row r="33" spans="1:2" x14ac:dyDescent="0.35">
      <c r="A33">
        <f t="shared" si="0"/>
        <v>310</v>
      </c>
      <c r="B33" s="39"/>
    </row>
    <row r="34" spans="1:2" x14ac:dyDescent="0.35">
      <c r="A34">
        <f t="shared" si="0"/>
        <v>320</v>
      </c>
      <c r="B34" s="39"/>
    </row>
    <row r="35" spans="1:2" x14ac:dyDescent="0.35">
      <c r="A35">
        <f t="shared" si="0"/>
        <v>330</v>
      </c>
      <c r="B35" s="39"/>
    </row>
    <row r="36" spans="1:2" x14ac:dyDescent="0.35">
      <c r="A36">
        <f t="shared" si="0"/>
        <v>340</v>
      </c>
      <c r="B36" s="39"/>
    </row>
    <row r="37" spans="1:2" x14ac:dyDescent="0.35">
      <c r="A37" s="87">
        <f t="shared" si="0"/>
        <v>350</v>
      </c>
      <c r="B37" s="39">
        <v>7.0000000000000007E-2</v>
      </c>
    </row>
    <row r="38" spans="1:2" x14ac:dyDescent="0.35">
      <c r="A38">
        <f t="shared" si="0"/>
        <v>360</v>
      </c>
      <c r="B38" s="39"/>
    </row>
    <row r="39" spans="1:2" x14ac:dyDescent="0.35">
      <c r="A39" s="33">
        <f t="shared" si="0"/>
        <v>370</v>
      </c>
      <c r="B39" s="39"/>
    </row>
    <row r="40" spans="1:2" x14ac:dyDescent="0.35">
      <c r="A40" s="33">
        <f t="shared" si="0"/>
        <v>380</v>
      </c>
      <c r="B40" s="39"/>
    </row>
    <row r="41" spans="1:2" x14ac:dyDescent="0.35">
      <c r="A41" s="33">
        <f t="shared" si="0"/>
        <v>390</v>
      </c>
      <c r="B41" s="39"/>
    </row>
    <row r="42" spans="1:2" x14ac:dyDescent="0.35">
      <c r="A42" s="87">
        <f t="shared" si="0"/>
        <v>400</v>
      </c>
      <c r="B42" s="39">
        <v>0.04</v>
      </c>
    </row>
    <row r="43" spans="1:2" x14ac:dyDescent="0.35">
      <c r="A43" s="33">
        <f t="shared" si="0"/>
        <v>410</v>
      </c>
    </row>
    <row r="44" spans="1:2" x14ac:dyDescent="0.35">
      <c r="A44" s="33">
        <f t="shared" si="0"/>
        <v>420</v>
      </c>
    </row>
    <row r="45" spans="1:2" x14ac:dyDescent="0.35">
      <c r="A45" s="33">
        <f t="shared" si="0"/>
        <v>430</v>
      </c>
    </row>
    <row r="46" spans="1:2" x14ac:dyDescent="0.35">
      <c r="A46" s="33">
        <f t="shared" si="0"/>
        <v>440</v>
      </c>
    </row>
    <row r="47" spans="1:2" x14ac:dyDescent="0.35">
      <c r="A47" s="87">
        <f t="shared" si="0"/>
        <v>450</v>
      </c>
      <c r="B47" s="12">
        <v>0.01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48"/>
  <sheetViews>
    <sheetView zoomScale="85" zoomScaleNormal="85" workbookViewId="0">
      <selection activeCell="A2" sqref="A2"/>
    </sheetView>
  </sheetViews>
  <sheetFormatPr defaultRowHeight="14.5" x14ac:dyDescent="0.35"/>
  <cols>
    <col min="1" max="1" width="9.08984375" style="12"/>
    <col min="2" max="2" width="12.6328125" style="12" customWidth="1"/>
  </cols>
  <sheetData>
    <row r="1" spans="1:2" x14ac:dyDescent="0.35">
      <c r="A1" s="12" t="s">
        <v>72</v>
      </c>
      <c r="B1" s="12" t="s">
        <v>28</v>
      </c>
    </row>
    <row r="2" spans="1:2" x14ac:dyDescent="0.35">
      <c r="A2" s="87">
        <v>0</v>
      </c>
      <c r="B2" s="39">
        <v>13.7</v>
      </c>
    </row>
    <row r="3" spans="1:2" x14ac:dyDescent="0.35">
      <c r="A3">
        <f>A2+10</f>
        <v>10</v>
      </c>
      <c r="B3" s="39"/>
    </row>
    <row r="4" spans="1:2" x14ac:dyDescent="0.35">
      <c r="A4">
        <f t="shared" ref="A4:A48" si="0">A3+10</f>
        <v>20</v>
      </c>
      <c r="B4" s="39"/>
    </row>
    <row r="5" spans="1:2" x14ac:dyDescent="0.35">
      <c r="A5">
        <f t="shared" si="0"/>
        <v>30</v>
      </c>
      <c r="B5" s="39"/>
    </row>
    <row r="6" spans="1:2" x14ac:dyDescent="0.35">
      <c r="A6">
        <f t="shared" si="0"/>
        <v>40</v>
      </c>
      <c r="B6" s="39"/>
    </row>
    <row r="7" spans="1:2" x14ac:dyDescent="0.35">
      <c r="A7" s="87">
        <f t="shared" si="0"/>
        <v>50</v>
      </c>
      <c r="B7" s="39">
        <v>13</v>
      </c>
    </row>
    <row r="8" spans="1:2" x14ac:dyDescent="0.35">
      <c r="A8">
        <f t="shared" si="0"/>
        <v>60</v>
      </c>
      <c r="B8" s="39"/>
    </row>
    <row r="9" spans="1:2" x14ac:dyDescent="0.35">
      <c r="A9">
        <f t="shared" si="0"/>
        <v>70</v>
      </c>
      <c r="B9" s="39"/>
    </row>
    <row r="10" spans="1:2" x14ac:dyDescent="0.35">
      <c r="A10">
        <f t="shared" si="0"/>
        <v>80</v>
      </c>
      <c r="B10" s="39"/>
    </row>
    <row r="11" spans="1:2" x14ac:dyDescent="0.35">
      <c r="A11">
        <f t="shared" si="0"/>
        <v>90</v>
      </c>
      <c r="B11" s="39"/>
    </row>
    <row r="12" spans="1:2" x14ac:dyDescent="0.35">
      <c r="A12" s="87">
        <f t="shared" si="0"/>
        <v>100</v>
      </c>
      <c r="B12" s="39">
        <v>12.3</v>
      </c>
    </row>
    <row r="13" spans="1:2" x14ac:dyDescent="0.35">
      <c r="A13" s="87">
        <v>100</v>
      </c>
      <c r="B13" s="39">
        <v>13.4</v>
      </c>
    </row>
    <row r="14" spans="1:2" x14ac:dyDescent="0.35">
      <c r="A14">
        <f>A12+10</f>
        <v>110</v>
      </c>
      <c r="B14" s="39"/>
    </row>
    <row r="15" spans="1:2" x14ac:dyDescent="0.35">
      <c r="A15" s="33">
        <f t="shared" si="0"/>
        <v>120</v>
      </c>
      <c r="B15" s="39"/>
    </row>
    <row r="16" spans="1:2" x14ac:dyDescent="0.35">
      <c r="A16" s="33">
        <f t="shared" si="0"/>
        <v>130</v>
      </c>
      <c r="B16" s="39"/>
    </row>
    <row r="17" spans="1:2" x14ac:dyDescent="0.35">
      <c r="A17">
        <f t="shared" si="0"/>
        <v>140</v>
      </c>
      <c r="B17" s="39"/>
    </row>
    <row r="18" spans="1:2" x14ac:dyDescent="0.35">
      <c r="A18" s="87">
        <f t="shared" si="0"/>
        <v>150</v>
      </c>
      <c r="B18" s="39">
        <v>12.7</v>
      </c>
    </row>
    <row r="19" spans="1:2" x14ac:dyDescent="0.35">
      <c r="A19">
        <f t="shared" si="0"/>
        <v>160</v>
      </c>
      <c r="B19" s="39"/>
    </row>
    <row r="20" spans="1:2" x14ac:dyDescent="0.35">
      <c r="A20">
        <f t="shared" si="0"/>
        <v>170</v>
      </c>
      <c r="B20" s="39"/>
    </row>
    <row r="21" spans="1:2" x14ac:dyDescent="0.35">
      <c r="A21">
        <f t="shared" si="0"/>
        <v>180</v>
      </c>
      <c r="B21" s="39"/>
    </row>
    <row r="22" spans="1:2" x14ac:dyDescent="0.35">
      <c r="A22">
        <f t="shared" si="0"/>
        <v>190</v>
      </c>
      <c r="B22" s="39"/>
    </row>
    <row r="23" spans="1:2" x14ac:dyDescent="0.35">
      <c r="A23" s="87">
        <f t="shared" si="0"/>
        <v>200</v>
      </c>
      <c r="B23" s="39">
        <v>12</v>
      </c>
    </row>
    <row r="24" spans="1:2" x14ac:dyDescent="0.35">
      <c r="A24">
        <f t="shared" si="0"/>
        <v>210</v>
      </c>
      <c r="B24" s="39"/>
    </row>
    <row r="25" spans="1:2" x14ac:dyDescent="0.35">
      <c r="A25">
        <f t="shared" si="0"/>
        <v>220</v>
      </c>
      <c r="B25" s="39"/>
    </row>
    <row r="26" spans="1:2" x14ac:dyDescent="0.35">
      <c r="A26">
        <f t="shared" si="0"/>
        <v>230</v>
      </c>
      <c r="B26" s="39"/>
    </row>
    <row r="27" spans="1:2" x14ac:dyDescent="0.35">
      <c r="A27">
        <f t="shared" si="0"/>
        <v>240</v>
      </c>
      <c r="B27" s="39"/>
    </row>
    <row r="28" spans="1:2" x14ac:dyDescent="0.35">
      <c r="A28" s="87">
        <f t="shared" si="0"/>
        <v>250</v>
      </c>
      <c r="B28" s="39">
        <v>11.2</v>
      </c>
    </row>
    <row r="29" spans="1:2" x14ac:dyDescent="0.35">
      <c r="A29">
        <f t="shared" si="0"/>
        <v>260</v>
      </c>
      <c r="B29" s="39"/>
    </row>
    <row r="30" spans="1:2" x14ac:dyDescent="0.35">
      <c r="A30">
        <f t="shared" si="0"/>
        <v>270</v>
      </c>
      <c r="B30" s="39"/>
    </row>
    <row r="31" spans="1:2" x14ac:dyDescent="0.35">
      <c r="A31">
        <f t="shared" si="0"/>
        <v>280</v>
      </c>
      <c r="B31" s="39"/>
    </row>
    <row r="32" spans="1:2" x14ac:dyDescent="0.35">
      <c r="A32">
        <f t="shared" si="0"/>
        <v>290</v>
      </c>
      <c r="B32" s="39"/>
    </row>
    <row r="33" spans="1:2" x14ac:dyDescent="0.35">
      <c r="A33" s="87">
        <f t="shared" si="0"/>
        <v>300</v>
      </c>
      <c r="B33" s="39">
        <v>10.4</v>
      </c>
    </row>
    <row r="34" spans="1:2" x14ac:dyDescent="0.35">
      <c r="A34">
        <f t="shared" si="0"/>
        <v>310</v>
      </c>
      <c r="B34" s="39"/>
    </row>
    <row r="35" spans="1:2" x14ac:dyDescent="0.35">
      <c r="A35">
        <f t="shared" si="0"/>
        <v>320</v>
      </c>
      <c r="B35" s="39"/>
    </row>
    <row r="36" spans="1:2" x14ac:dyDescent="0.35">
      <c r="A36">
        <f t="shared" si="0"/>
        <v>330</v>
      </c>
      <c r="B36" s="39"/>
    </row>
    <row r="37" spans="1:2" x14ac:dyDescent="0.35">
      <c r="A37">
        <f t="shared" si="0"/>
        <v>340</v>
      </c>
      <c r="B37" s="39"/>
    </row>
    <row r="38" spans="1:2" x14ac:dyDescent="0.35">
      <c r="A38" s="87">
        <f t="shared" si="0"/>
        <v>350</v>
      </c>
      <c r="B38" s="39">
        <v>9.6</v>
      </c>
    </row>
    <row r="39" spans="1:2" x14ac:dyDescent="0.35">
      <c r="A39">
        <f t="shared" si="0"/>
        <v>360</v>
      </c>
      <c r="B39" s="39"/>
    </row>
    <row r="40" spans="1:2" x14ac:dyDescent="0.35">
      <c r="A40" s="33">
        <f t="shared" si="0"/>
        <v>370</v>
      </c>
      <c r="B40" s="39"/>
    </row>
    <row r="41" spans="1:2" x14ac:dyDescent="0.35">
      <c r="A41" s="33">
        <f t="shared" si="0"/>
        <v>380</v>
      </c>
      <c r="B41" s="39"/>
    </row>
    <row r="42" spans="1:2" x14ac:dyDescent="0.35">
      <c r="A42" s="33">
        <f t="shared" si="0"/>
        <v>390</v>
      </c>
      <c r="B42" s="39"/>
    </row>
    <row r="43" spans="1:2" x14ac:dyDescent="0.35">
      <c r="A43" s="87">
        <f t="shared" si="0"/>
        <v>400</v>
      </c>
      <c r="B43" s="39">
        <v>8.9</v>
      </c>
    </row>
    <row r="44" spans="1:2" x14ac:dyDescent="0.35">
      <c r="A44" s="33">
        <f t="shared" si="0"/>
        <v>410</v>
      </c>
    </row>
    <row r="45" spans="1:2" x14ac:dyDescent="0.35">
      <c r="A45" s="33">
        <f t="shared" si="0"/>
        <v>420</v>
      </c>
    </row>
    <row r="46" spans="1:2" x14ac:dyDescent="0.35">
      <c r="A46" s="33">
        <f t="shared" si="0"/>
        <v>430</v>
      </c>
    </row>
    <row r="47" spans="1:2" x14ac:dyDescent="0.35">
      <c r="A47" s="33">
        <f t="shared" si="0"/>
        <v>440</v>
      </c>
    </row>
    <row r="48" spans="1:2" x14ac:dyDescent="0.35">
      <c r="A48" s="87">
        <f t="shared" si="0"/>
        <v>450</v>
      </c>
      <c r="B48" s="12">
        <v>8.1999999999999993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48"/>
  <sheetViews>
    <sheetView zoomScale="85" zoomScaleNormal="85" workbookViewId="0">
      <selection activeCell="M19" sqref="M19"/>
    </sheetView>
  </sheetViews>
  <sheetFormatPr defaultRowHeight="14.5" x14ac:dyDescent="0.35"/>
  <cols>
    <col min="1" max="1" width="9.08984375" style="12"/>
    <col min="2" max="2" width="12.6328125" style="12" customWidth="1"/>
  </cols>
  <sheetData>
    <row r="1" spans="1:2" x14ac:dyDescent="0.35">
      <c r="A1" s="12" t="s">
        <v>72</v>
      </c>
      <c r="B1" s="12" t="s">
        <v>107</v>
      </c>
    </row>
    <row r="2" spans="1:2" x14ac:dyDescent="0.35">
      <c r="A2" s="87">
        <v>0</v>
      </c>
      <c r="B2" s="39">
        <v>3.9</v>
      </c>
    </row>
    <row r="3" spans="1:2" x14ac:dyDescent="0.35">
      <c r="A3">
        <f>A2+10</f>
        <v>10</v>
      </c>
      <c r="B3" s="39"/>
    </row>
    <row r="4" spans="1:2" x14ac:dyDescent="0.35">
      <c r="A4">
        <f t="shared" ref="A4:A48" si="0">A3+10</f>
        <v>20</v>
      </c>
      <c r="B4" s="39"/>
    </row>
    <row r="5" spans="1:2" x14ac:dyDescent="0.35">
      <c r="A5">
        <f t="shared" si="0"/>
        <v>30</v>
      </c>
      <c r="B5" s="39"/>
    </row>
    <row r="6" spans="1:2" x14ac:dyDescent="0.35">
      <c r="A6">
        <f t="shared" si="0"/>
        <v>40</v>
      </c>
      <c r="B6" s="39"/>
    </row>
    <row r="7" spans="1:2" x14ac:dyDescent="0.35">
      <c r="A7" s="87">
        <f t="shared" si="0"/>
        <v>50</v>
      </c>
      <c r="B7" s="39">
        <v>3.57</v>
      </c>
    </row>
    <row r="8" spans="1:2" x14ac:dyDescent="0.35">
      <c r="A8">
        <f t="shared" si="0"/>
        <v>60</v>
      </c>
      <c r="B8" s="39"/>
    </row>
    <row r="9" spans="1:2" x14ac:dyDescent="0.35">
      <c r="A9">
        <f t="shared" si="0"/>
        <v>70</v>
      </c>
      <c r="B9" s="39"/>
    </row>
    <row r="10" spans="1:2" x14ac:dyDescent="0.35">
      <c r="A10">
        <f t="shared" si="0"/>
        <v>80</v>
      </c>
      <c r="B10" s="39"/>
    </row>
    <row r="11" spans="1:2" x14ac:dyDescent="0.35">
      <c r="A11">
        <f t="shared" si="0"/>
        <v>90</v>
      </c>
      <c r="B11" s="39"/>
    </row>
    <row r="12" spans="1:2" x14ac:dyDescent="0.35">
      <c r="A12" s="87">
        <f t="shared" si="0"/>
        <v>100</v>
      </c>
      <c r="B12" s="39">
        <v>3.27</v>
      </c>
    </row>
    <row r="13" spans="1:2" x14ac:dyDescent="0.35">
      <c r="A13" s="87">
        <v>100</v>
      </c>
      <c r="B13" s="39">
        <v>1.5</v>
      </c>
    </row>
    <row r="14" spans="1:2" x14ac:dyDescent="0.35">
      <c r="A14">
        <f>A12+10</f>
        <v>110</v>
      </c>
      <c r="B14" s="39"/>
    </row>
    <row r="15" spans="1:2" x14ac:dyDescent="0.35">
      <c r="A15" s="33">
        <f t="shared" si="0"/>
        <v>120</v>
      </c>
      <c r="B15" s="39"/>
    </row>
    <row r="16" spans="1:2" x14ac:dyDescent="0.35">
      <c r="A16" s="33">
        <f t="shared" si="0"/>
        <v>130</v>
      </c>
      <c r="B16" s="39"/>
    </row>
    <row r="17" spans="1:2" x14ac:dyDescent="0.35">
      <c r="A17">
        <f t="shared" si="0"/>
        <v>140</v>
      </c>
      <c r="B17" s="39"/>
    </row>
    <row r="18" spans="1:2" x14ac:dyDescent="0.35">
      <c r="A18" s="87">
        <f t="shared" si="0"/>
        <v>150</v>
      </c>
      <c r="B18" s="39">
        <v>1.43</v>
      </c>
    </row>
    <row r="19" spans="1:2" x14ac:dyDescent="0.35">
      <c r="A19">
        <f t="shared" si="0"/>
        <v>160</v>
      </c>
      <c r="B19" s="39"/>
    </row>
    <row r="20" spans="1:2" x14ac:dyDescent="0.35">
      <c r="A20">
        <f t="shared" si="0"/>
        <v>170</v>
      </c>
      <c r="B20" s="39"/>
    </row>
    <row r="21" spans="1:2" x14ac:dyDescent="0.35">
      <c r="A21">
        <f t="shared" si="0"/>
        <v>180</v>
      </c>
      <c r="B21" s="39"/>
    </row>
    <row r="22" spans="1:2" x14ac:dyDescent="0.35">
      <c r="A22">
        <f t="shared" si="0"/>
        <v>190</v>
      </c>
      <c r="B22" s="39"/>
    </row>
    <row r="23" spans="1:2" x14ac:dyDescent="0.35">
      <c r="A23" s="87">
        <f t="shared" si="0"/>
        <v>200</v>
      </c>
      <c r="B23" s="39">
        <v>1.3</v>
      </c>
    </row>
    <row r="24" spans="1:2" x14ac:dyDescent="0.35">
      <c r="A24">
        <f t="shared" si="0"/>
        <v>210</v>
      </c>
      <c r="B24" s="39"/>
    </row>
    <row r="25" spans="1:2" x14ac:dyDescent="0.35">
      <c r="A25">
        <f t="shared" si="0"/>
        <v>220</v>
      </c>
      <c r="B25" s="39"/>
    </row>
    <row r="26" spans="1:2" x14ac:dyDescent="0.35">
      <c r="A26">
        <f t="shared" si="0"/>
        <v>230</v>
      </c>
      <c r="B26" s="39"/>
    </row>
    <row r="27" spans="1:2" x14ac:dyDescent="0.35">
      <c r="A27">
        <f t="shared" si="0"/>
        <v>240</v>
      </c>
      <c r="B27" s="39"/>
    </row>
    <row r="28" spans="1:2" x14ac:dyDescent="0.35">
      <c r="A28" s="87">
        <f t="shared" si="0"/>
        <v>250</v>
      </c>
      <c r="B28" s="39">
        <v>1.25</v>
      </c>
    </row>
    <row r="29" spans="1:2" x14ac:dyDescent="0.35">
      <c r="A29">
        <f t="shared" si="0"/>
        <v>260</v>
      </c>
      <c r="B29" s="39"/>
    </row>
    <row r="30" spans="1:2" x14ac:dyDescent="0.35">
      <c r="A30">
        <f t="shared" si="0"/>
        <v>270</v>
      </c>
      <c r="B30" s="39"/>
    </row>
    <row r="31" spans="1:2" x14ac:dyDescent="0.35">
      <c r="A31">
        <f t="shared" si="0"/>
        <v>280</v>
      </c>
      <c r="B31" s="39"/>
    </row>
    <row r="32" spans="1:2" x14ac:dyDescent="0.35">
      <c r="A32">
        <f t="shared" si="0"/>
        <v>290</v>
      </c>
      <c r="B32" s="39"/>
    </row>
    <row r="33" spans="1:2" x14ac:dyDescent="0.35">
      <c r="A33" s="87">
        <f t="shared" si="0"/>
        <v>300</v>
      </c>
      <c r="B33" s="39">
        <v>1.2</v>
      </c>
    </row>
    <row r="34" spans="1:2" x14ac:dyDescent="0.35">
      <c r="A34">
        <f t="shared" si="0"/>
        <v>310</v>
      </c>
      <c r="B34" s="39"/>
    </row>
    <row r="35" spans="1:2" x14ac:dyDescent="0.35">
      <c r="A35">
        <f t="shared" si="0"/>
        <v>320</v>
      </c>
      <c r="B35" s="39"/>
    </row>
    <row r="36" spans="1:2" x14ac:dyDescent="0.35">
      <c r="A36">
        <f t="shared" si="0"/>
        <v>330</v>
      </c>
      <c r="B36" s="39"/>
    </row>
    <row r="37" spans="1:2" x14ac:dyDescent="0.35">
      <c r="A37">
        <f t="shared" si="0"/>
        <v>340</v>
      </c>
      <c r="B37" s="39"/>
    </row>
    <row r="38" spans="1:2" x14ac:dyDescent="0.35">
      <c r="A38" s="87">
        <f t="shared" si="0"/>
        <v>350</v>
      </c>
      <c r="B38" s="39">
        <v>1.1499999999999999</v>
      </c>
    </row>
    <row r="39" spans="1:2" x14ac:dyDescent="0.35">
      <c r="A39">
        <f t="shared" si="0"/>
        <v>360</v>
      </c>
      <c r="B39" s="39"/>
    </row>
    <row r="40" spans="1:2" x14ac:dyDescent="0.35">
      <c r="A40" s="33">
        <f t="shared" si="0"/>
        <v>370</v>
      </c>
      <c r="B40" s="39"/>
    </row>
    <row r="41" spans="1:2" x14ac:dyDescent="0.35">
      <c r="A41" s="33">
        <f t="shared" si="0"/>
        <v>380</v>
      </c>
      <c r="B41" s="39"/>
    </row>
    <row r="42" spans="1:2" x14ac:dyDescent="0.35">
      <c r="A42" s="33">
        <f t="shared" si="0"/>
        <v>390</v>
      </c>
      <c r="B42" s="39"/>
    </row>
    <row r="43" spans="1:2" x14ac:dyDescent="0.35">
      <c r="A43" s="87">
        <f t="shared" si="0"/>
        <v>400</v>
      </c>
      <c r="B43" s="39">
        <v>1.1000000000000001</v>
      </c>
    </row>
    <row r="44" spans="1:2" x14ac:dyDescent="0.35">
      <c r="A44" s="33">
        <f t="shared" si="0"/>
        <v>410</v>
      </c>
    </row>
    <row r="45" spans="1:2" x14ac:dyDescent="0.35">
      <c r="A45" s="33">
        <f t="shared" si="0"/>
        <v>420</v>
      </c>
    </row>
    <row r="46" spans="1:2" x14ac:dyDescent="0.35">
      <c r="A46" s="33">
        <f t="shared" si="0"/>
        <v>430</v>
      </c>
    </row>
    <row r="47" spans="1:2" x14ac:dyDescent="0.35">
      <c r="A47" s="33">
        <f t="shared" si="0"/>
        <v>440</v>
      </c>
    </row>
    <row r="48" spans="1:2" x14ac:dyDescent="0.35">
      <c r="A48" s="87">
        <f t="shared" si="0"/>
        <v>450</v>
      </c>
      <c r="B48" s="12">
        <v>1.1499999999999999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48"/>
  <sheetViews>
    <sheetView workbookViewId="0">
      <selection activeCell="W15" sqref="W15"/>
    </sheetView>
  </sheetViews>
  <sheetFormatPr defaultRowHeight="14.5" x14ac:dyDescent="0.35"/>
  <cols>
    <col min="1" max="1" width="9.08984375" style="12"/>
    <col min="3" max="3" width="9.08984375" style="12"/>
  </cols>
  <sheetData>
    <row r="1" spans="1:12" x14ac:dyDescent="0.35">
      <c r="A1" s="12" t="s">
        <v>72</v>
      </c>
      <c r="B1" s="38" t="s">
        <v>105</v>
      </c>
      <c r="C1" s="85"/>
      <c r="K1" s="12" t="s">
        <v>72</v>
      </c>
      <c r="L1" s="38" t="s">
        <v>105</v>
      </c>
    </row>
    <row r="2" spans="1:12" x14ac:dyDescent="0.35">
      <c r="A2" s="88">
        <v>0</v>
      </c>
      <c r="B2" s="80">
        <v>7</v>
      </c>
      <c r="K2" s="88">
        <v>0</v>
      </c>
      <c r="L2" s="80">
        <f>B2</f>
        <v>7</v>
      </c>
    </row>
    <row r="3" spans="1:12" x14ac:dyDescent="0.35">
      <c r="A3" s="12">
        <f>A2+10</f>
        <v>10</v>
      </c>
      <c r="B3" s="80"/>
      <c r="K3" s="12">
        <f>K2+10</f>
        <v>10</v>
      </c>
      <c r="L3" s="80"/>
    </row>
    <row r="4" spans="1:12" x14ac:dyDescent="0.35">
      <c r="A4" s="12">
        <f t="shared" ref="A4:A48" si="0">A3+10</f>
        <v>20</v>
      </c>
      <c r="B4" s="80"/>
      <c r="K4" s="12">
        <f t="shared" ref="K4:K12" si="1">K3+10</f>
        <v>20</v>
      </c>
      <c r="L4" s="80"/>
    </row>
    <row r="5" spans="1:12" x14ac:dyDescent="0.35">
      <c r="A5" s="12">
        <f t="shared" si="0"/>
        <v>30</v>
      </c>
      <c r="B5" s="80"/>
      <c r="K5" s="12">
        <f t="shared" si="1"/>
        <v>30</v>
      </c>
      <c r="L5" s="80"/>
    </row>
    <row r="6" spans="1:12" x14ac:dyDescent="0.35">
      <c r="A6" s="12">
        <f t="shared" si="0"/>
        <v>40</v>
      </c>
      <c r="B6" s="80"/>
      <c r="K6" s="12">
        <f t="shared" si="1"/>
        <v>40</v>
      </c>
      <c r="L6" s="80"/>
    </row>
    <row r="7" spans="1:12" x14ac:dyDescent="0.35">
      <c r="A7" s="88">
        <f t="shared" si="0"/>
        <v>50</v>
      </c>
      <c r="B7" s="80">
        <v>9</v>
      </c>
      <c r="K7" s="88">
        <f t="shared" si="1"/>
        <v>50</v>
      </c>
      <c r="L7" s="80">
        <f>B7</f>
        <v>9</v>
      </c>
    </row>
    <row r="8" spans="1:12" x14ac:dyDescent="0.35">
      <c r="A8" s="12">
        <f t="shared" si="0"/>
        <v>60</v>
      </c>
      <c r="B8" s="80"/>
      <c r="K8" s="12">
        <f t="shared" si="1"/>
        <v>60</v>
      </c>
      <c r="L8" s="80"/>
    </row>
    <row r="9" spans="1:12" x14ac:dyDescent="0.35">
      <c r="A9" s="12">
        <f t="shared" si="0"/>
        <v>70</v>
      </c>
      <c r="B9" s="80"/>
      <c r="K9" s="12">
        <f t="shared" si="1"/>
        <v>70</v>
      </c>
      <c r="L9" s="80"/>
    </row>
    <row r="10" spans="1:12" x14ac:dyDescent="0.35">
      <c r="A10" s="12">
        <f t="shared" si="0"/>
        <v>80</v>
      </c>
      <c r="B10" s="80"/>
      <c r="K10" s="12">
        <f t="shared" si="1"/>
        <v>80</v>
      </c>
      <c r="L10" s="80"/>
    </row>
    <row r="11" spans="1:12" x14ac:dyDescent="0.35">
      <c r="A11" s="12">
        <f t="shared" si="0"/>
        <v>90</v>
      </c>
      <c r="B11" s="80"/>
      <c r="K11" s="12">
        <f t="shared" si="1"/>
        <v>90</v>
      </c>
      <c r="L11" s="80"/>
    </row>
    <row r="12" spans="1:12" x14ac:dyDescent="0.35">
      <c r="A12" s="88">
        <f t="shared" si="0"/>
        <v>100</v>
      </c>
      <c r="B12" s="80">
        <v>13</v>
      </c>
      <c r="K12" s="88">
        <f t="shared" si="1"/>
        <v>100</v>
      </c>
      <c r="L12" s="80">
        <f>B12</f>
        <v>13</v>
      </c>
    </row>
    <row r="13" spans="1:12" x14ac:dyDescent="0.35">
      <c r="A13" s="88">
        <v>100</v>
      </c>
      <c r="B13" s="80">
        <v>9</v>
      </c>
      <c r="K13" s="12"/>
      <c r="L13" s="80"/>
    </row>
    <row r="14" spans="1:12" x14ac:dyDescent="0.35">
      <c r="A14" s="12">
        <f>A12+10</f>
        <v>110</v>
      </c>
      <c r="B14" s="80"/>
    </row>
    <row r="15" spans="1:12" x14ac:dyDescent="0.35">
      <c r="A15" s="37">
        <f t="shared" si="0"/>
        <v>120</v>
      </c>
      <c r="B15" s="80"/>
    </row>
    <row r="16" spans="1:12" x14ac:dyDescent="0.35">
      <c r="A16" s="37">
        <f t="shared" si="0"/>
        <v>130</v>
      </c>
      <c r="B16" s="80"/>
    </row>
    <row r="17" spans="1:12" x14ac:dyDescent="0.35">
      <c r="A17" s="12">
        <f t="shared" si="0"/>
        <v>140</v>
      </c>
      <c r="B17" s="80"/>
      <c r="K17" s="37">
        <v>100</v>
      </c>
      <c r="L17" s="80">
        <f>B13</f>
        <v>9</v>
      </c>
    </row>
    <row r="18" spans="1:12" x14ac:dyDescent="0.35">
      <c r="A18" s="88">
        <f t="shared" si="0"/>
        <v>150</v>
      </c>
      <c r="B18" s="80">
        <v>10</v>
      </c>
      <c r="K18" s="37">
        <f>K17+50</f>
        <v>150</v>
      </c>
      <c r="L18" s="80">
        <f>B18</f>
        <v>10</v>
      </c>
    </row>
    <row r="19" spans="1:12" x14ac:dyDescent="0.35">
      <c r="A19" s="12">
        <f t="shared" si="0"/>
        <v>160</v>
      </c>
      <c r="B19" s="80"/>
      <c r="K19" s="37">
        <f t="shared" ref="K19:K24" si="2">K18+50</f>
        <v>200</v>
      </c>
      <c r="L19" s="80">
        <f>B23</f>
        <v>12</v>
      </c>
    </row>
    <row r="20" spans="1:12" x14ac:dyDescent="0.35">
      <c r="A20" s="12">
        <f t="shared" si="0"/>
        <v>170</v>
      </c>
      <c r="B20" s="80"/>
      <c r="K20" s="37">
        <f t="shared" si="2"/>
        <v>250</v>
      </c>
      <c r="L20" s="80">
        <f>B28</f>
        <v>18</v>
      </c>
    </row>
    <row r="21" spans="1:12" x14ac:dyDescent="0.35">
      <c r="A21" s="12">
        <f t="shared" si="0"/>
        <v>180</v>
      </c>
      <c r="B21" s="80"/>
      <c r="K21" s="37">
        <f t="shared" si="2"/>
        <v>300</v>
      </c>
      <c r="L21" s="80">
        <f>B33</f>
        <v>25</v>
      </c>
    </row>
    <row r="22" spans="1:12" x14ac:dyDescent="0.35">
      <c r="A22" s="12">
        <f t="shared" si="0"/>
        <v>190</v>
      </c>
      <c r="B22" s="80"/>
      <c r="K22" s="37">
        <f t="shared" si="2"/>
        <v>350</v>
      </c>
      <c r="L22" s="80">
        <f>B38</f>
        <v>30</v>
      </c>
    </row>
    <row r="23" spans="1:12" x14ac:dyDescent="0.35">
      <c r="A23" s="88">
        <f t="shared" si="0"/>
        <v>200</v>
      </c>
      <c r="B23" s="80">
        <v>12</v>
      </c>
      <c r="K23" s="37">
        <f t="shared" si="2"/>
        <v>400</v>
      </c>
      <c r="L23" s="80">
        <f>B43</f>
        <v>40</v>
      </c>
    </row>
    <row r="24" spans="1:12" x14ac:dyDescent="0.35">
      <c r="A24" s="12">
        <f t="shared" si="0"/>
        <v>210</v>
      </c>
      <c r="B24" s="80"/>
      <c r="K24" s="37">
        <f t="shared" si="2"/>
        <v>450</v>
      </c>
      <c r="L24" s="80">
        <f>B48</f>
        <v>50</v>
      </c>
    </row>
    <row r="25" spans="1:12" x14ac:dyDescent="0.35">
      <c r="A25" s="12">
        <f t="shared" si="0"/>
        <v>220</v>
      </c>
      <c r="B25" s="80"/>
      <c r="K25" s="37"/>
      <c r="L25" s="80"/>
    </row>
    <row r="26" spans="1:12" x14ac:dyDescent="0.35">
      <c r="A26" s="12">
        <f t="shared" si="0"/>
        <v>230</v>
      </c>
      <c r="B26" s="80"/>
      <c r="K26" s="12"/>
      <c r="L26" s="80"/>
    </row>
    <row r="27" spans="1:12" x14ac:dyDescent="0.35">
      <c r="A27" s="12">
        <f t="shared" si="0"/>
        <v>240</v>
      </c>
      <c r="B27" s="80"/>
      <c r="K27" s="12"/>
      <c r="L27" s="80"/>
    </row>
    <row r="28" spans="1:12" x14ac:dyDescent="0.35">
      <c r="A28" s="88">
        <f t="shared" si="0"/>
        <v>250</v>
      </c>
      <c r="B28" s="80">
        <v>18</v>
      </c>
      <c r="K28" s="12"/>
      <c r="L28" s="80"/>
    </row>
    <row r="29" spans="1:12" x14ac:dyDescent="0.35">
      <c r="A29" s="12">
        <f t="shared" si="0"/>
        <v>260</v>
      </c>
      <c r="B29" s="80"/>
      <c r="K29" s="12"/>
      <c r="L29" s="80"/>
    </row>
    <row r="30" spans="1:12" x14ac:dyDescent="0.35">
      <c r="A30" s="12">
        <f t="shared" si="0"/>
        <v>270</v>
      </c>
      <c r="B30" s="80"/>
      <c r="K30" s="88"/>
      <c r="L30" s="80"/>
    </row>
    <row r="31" spans="1:12" x14ac:dyDescent="0.35">
      <c r="A31" s="12">
        <f t="shared" si="0"/>
        <v>280</v>
      </c>
    </row>
    <row r="32" spans="1:12" x14ac:dyDescent="0.35">
      <c r="A32" s="12">
        <f t="shared" si="0"/>
        <v>290</v>
      </c>
    </row>
    <row r="33" spans="1:2" x14ac:dyDescent="0.35">
      <c r="A33" s="88">
        <f t="shared" si="0"/>
        <v>300</v>
      </c>
      <c r="B33">
        <v>25</v>
      </c>
    </row>
    <row r="34" spans="1:2" x14ac:dyDescent="0.35">
      <c r="A34" s="12">
        <f t="shared" si="0"/>
        <v>310</v>
      </c>
    </row>
    <row r="35" spans="1:2" x14ac:dyDescent="0.35">
      <c r="A35" s="12">
        <f t="shared" si="0"/>
        <v>320</v>
      </c>
    </row>
    <row r="36" spans="1:2" x14ac:dyDescent="0.35">
      <c r="A36" s="12">
        <f t="shared" si="0"/>
        <v>330</v>
      </c>
    </row>
    <row r="37" spans="1:2" x14ac:dyDescent="0.35">
      <c r="A37" s="12">
        <f t="shared" si="0"/>
        <v>340</v>
      </c>
    </row>
    <row r="38" spans="1:2" x14ac:dyDescent="0.35">
      <c r="A38" s="88">
        <f t="shared" si="0"/>
        <v>350</v>
      </c>
      <c r="B38">
        <v>30</v>
      </c>
    </row>
    <row r="39" spans="1:2" x14ac:dyDescent="0.35">
      <c r="A39" s="12">
        <f t="shared" si="0"/>
        <v>360</v>
      </c>
    </row>
    <row r="40" spans="1:2" x14ac:dyDescent="0.35">
      <c r="A40" s="37">
        <f t="shared" si="0"/>
        <v>370</v>
      </c>
    </row>
    <row r="41" spans="1:2" x14ac:dyDescent="0.35">
      <c r="A41" s="37">
        <f t="shared" si="0"/>
        <v>380</v>
      </c>
    </row>
    <row r="42" spans="1:2" x14ac:dyDescent="0.35">
      <c r="A42" s="37">
        <f t="shared" si="0"/>
        <v>390</v>
      </c>
    </row>
    <row r="43" spans="1:2" x14ac:dyDescent="0.35">
      <c r="A43" s="37">
        <f t="shared" si="0"/>
        <v>400</v>
      </c>
      <c r="B43">
        <v>40</v>
      </c>
    </row>
    <row r="44" spans="1:2" x14ac:dyDescent="0.35">
      <c r="A44" s="37">
        <f t="shared" si="0"/>
        <v>410</v>
      </c>
    </row>
    <row r="45" spans="1:2" x14ac:dyDescent="0.35">
      <c r="A45" s="37">
        <f t="shared" si="0"/>
        <v>420</v>
      </c>
    </row>
    <row r="46" spans="1:2" x14ac:dyDescent="0.35">
      <c r="A46" s="37">
        <f t="shared" si="0"/>
        <v>430</v>
      </c>
    </row>
    <row r="47" spans="1:2" x14ac:dyDescent="0.35">
      <c r="A47" s="37">
        <f t="shared" si="0"/>
        <v>440</v>
      </c>
    </row>
    <row r="48" spans="1:2" x14ac:dyDescent="0.35">
      <c r="A48" s="37">
        <f t="shared" si="0"/>
        <v>450</v>
      </c>
      <c r="B48">
        <v>50</v>
      </c>
    </row>
  </sheetData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Gain-Sub-Exp</vt:lpstr>
      <vt:lpstr>Filters</vt:lpstr>
      <vt:lpstr>Skyflux</vt:lpstr>
      <vt:lpstr>ASI533-specs-DR-SNR</vt:lpstr>
      <vt:lpstr>graphs</vt:lpstr>
      <vt:lpstr>FWC</vt:lpstr>
      <vt:lpstr>Gain</vt:lpstr>
      <vt:lpstr>DR</vt:lpstr>
      <vt:lpstr>Read Noise</vt:lpstr>
      <vt:lpstr>Offset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Bellavia, Steven</dc:creator>
  <cp:lastModifiedBy>Bellavia, Steven</cp:lastModifiedBy>
  <cp:lastPrinted>2019-09-14T12:38:13Z</cp:lastPrinted>
  <dcterms:created xsi:type="dcterms:W3CDTF">2018-08-21T15:42:24Z</dcterms:created>
  <dcterms:modified xsi:type="dcterms:W3CDTF">2021-05-04T16:29:07Z</dcterms:modified>
</cp:coreProperties>
</file>